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10" yWindow="0" windowWidth="15435" windowHeight="12120" firstSheet="1" activeTab="1"/>
  </bookViews>
  <sheets>
    <sheet name="Приложение 2" sheetId="1" state="hidden" r:id="rId1"/>
    <sheet name="Приложение 3" sheetId="2" r:id="rId2"/>
    <sheet name="Таблица №7" sheetId="3" state="hidden" r:id="rId3"/>
    <sheet name="Таблица №11" sheetId="4" state="hidden" r:id="rId4"/>
    <sheet name="Таблица №12" sheetId="5" state="hidden" r:id="rId5"/>
  </sheets>
  <definedNames>
    <definedName name="APPT" localSheetId="1">'Приложение 3'!#REF!</definedName>
    <definedName name="APPT" localSheetId="3">'Таблица №11'!#REF!</definedName>
    <definedName name="APPT" localSheetId="4">'Таблица №12'!#REF!</definedName>
    <definedName name="APPT" localSheetId="2">'Таблица №7'!#REF!</definedName>
    <definedName name="FIO" localSheetId="1">'Приложение 3'!#REF!</definedName>
    <definedName name="FIO" localSheetId="3">'Таблица №11'!#REF!</definedName>
    <definedName name="FIO" localSheetId="4">'Таблица №12'!#REF!</definedName>
    <definedName name="FIO" localSheetId="2">'Таблица №7'!#REF!</definedName>
    <definedName name="SIGN" localSheetId="1">'Приложение 3'!$A$23:$E$24</definedName>
    <definedName name="SIGN" localSheetId="3">'Таблица №11'!#REF!</definedName>
    <definedName name="SIGN" localSheetId="4">'Таблица №12'!#REF!</definedName>
    <definedName name="SIGN" localSheetId="2">'Таблица №7'!#REF!</definedName>
  </definedNames>
  <calcPr fullCalcOnLoad="1"/>
</workbook>
</file>

<file path=xl/sharedStrings.xml><?xml version="1.0" encoding="utf-8"?>
<sst xmlns="http://schemas.openxmlformats.org/spreadsheetml/2006/main" count="1500" uniqueCount="334">
  <si>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</si>
  <si>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</si>
  <si>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</si>
  <si>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</si>
  <si>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</si>
  <si>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</si>
  <si>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</si>
  <si>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10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</si>
  <si>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</si>
  <si>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</si>
  <si>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</si>
  <si>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</si>
  <si>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</si>
  <si>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</si>
  <si>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</si>
  <si>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</si>
  <si>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</si>
  <si>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</si>
  <si>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</si>
  <si>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50</t>
  </si>
  <si>
    <t>16</t>
  </si>
  <si>
    <t>17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</si>
  <si>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</si>
  <si>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</si>
  <si>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</si>
  <si>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</si>
  <si>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</si>
  <si>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</si>
  <si>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</si>
  <si>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</si>
  <si>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</si>
  <si>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</si>
  <si>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</si>
  <si>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</si>
  <si>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</si>
  <si>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</si>
  <si>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</si>
  <si>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</si>
  <si>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</si>
  <si>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</si>
  <si>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</si>
  <si>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</si>
  <si>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</si>
  <si>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</si>
  <si>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</si>
  <si>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</si>
  <si>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</si>
  <si>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</si>
  <si>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</si>
  <si>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</si>
  <si>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</si>
  <si>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</si>
  <si>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</si>
  <si>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</si>
  <si>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Оценка недвижимости, признание прав и регулирование отношений  по муниципальной собственности</t>
  </si>
  <si>
    <t>Реализация  государственных функций, связанных с общегосударственным управлением</t>
  </si>
  <si>
    <t>Государственная  регистрация актов гражданского состояния</t>
  </si>
  <si>
    <t>Условно утвержденные расходы</t>
  </si>
  <si>
    <t>Глава администрации муниципального образования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</si>
  <si>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</si>
  <si>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</si>
  <si>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</si>
  <si>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</si>
  <si>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</si>
  <si>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</si>
  <si>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</si>
  <si>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</si>
  <si>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</si>
  <si>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</si>
  <si>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</si>
  <si>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</si>
  <si>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</si>
  <si>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</si>
  <si>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</si>
  <si>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</si>
  <si>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</si>
  <si>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</si>
  <si>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</si>
  <si>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</si>
  <si>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</si>
  <si>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</si>
  <si>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</si>
  <si>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</si>
  <si>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Учреждения по внешкольной работе с детьми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</si>
  <si>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</si>
  <si>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</si>
  <si>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</si>
  <si>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</si>
  <si>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</si>
  <si>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</si>
  <si>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</si>
  <si>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</si>
  <si>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</si>
  <si>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</si>
  <si>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</si>
  <si>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</si>
  <si>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</si>
  <si>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</si>
  <si>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</si>
  <si>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</si>
  <si>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</si>
  <si>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</si>
  <si>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</si>
  <si>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Социальные выплаты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</si>
  <si>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</si>
  <si>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</si>
  <si>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</si>
  <si>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</si>
  <si>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</si>
  <si>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</si>
  <si>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</si>
  <si>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</si>
  <si>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</si>
  <si>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</si>
  <si>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</si>
  <si>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</si>
  <si>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</si>
  <si>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</si>
  <si>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</si>
  <si>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</si>
  <si>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</si>
  <si>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Администрация Алексеевского муниципального  района</t>
  </si>
  <si>
    <t>За счет субвенции  на создание, исполнение функций и обеспечение деятельности муниципальных комиссий по делам несовершеннолетних и защите их прав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</si>
  <si>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</si>
  <si>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</si>
  <si>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</si>
  <si>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</si>
  <si>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</si>
  <si>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</si>
  <si>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</si>
  <si>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</si>
  <si>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</si>
  <si>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</si>
  <si>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</si>
  <si>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</si>
  <si>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</si>
  <si>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</si>
  <si>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</si>
  <si>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</si>
  <si>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</si>
  <si>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</si>
  <si>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</si>
  <si>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</si>
  <si>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</si>
  <si>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</si>
  <si>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</si>
  <si>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</si>
  <si>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</si>
  <si>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</si>
  <si>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</si>
  <si>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</si>
  <si>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</si>
  <si>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</si>
  <si>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</si>
  <si>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</si>
  <si>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Другие общегосударственные  вопросы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</si>
  <si>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</si>
  <si>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</si>
  <si>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</si>
  <si>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</si>
  <si>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</si>
  <si>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Молодежная политика  и оздоровление детей</t>
  </si>
  <si>
    <t>Культура, кинематография</t>
  </si>
  <si>
    <t>Борьба с беспризорностью, опека, попечительство</t>
  </si>
  <si>
    <t>1100</t>
  </si>
  <si>
    <t>Физическая культура  и спорт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</si>
  <si>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</si>
  <si>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</si>
  <si>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</si>
  <si>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</si>
  <si>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</si>
  <si>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</si>
  <si>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Таблица № 7</t>
  </si>
  <si>
    <t>Таблица № 11</t>
  </si>
  <si>
    <t>Таблица № 12</t>
  </si>
  <si>
    <t>Иные бюджетные ассигнования</t>
  </si>
  <si>
    <t>Ведомственная целевая программа "Развитие общего образования детей на  территории  Алексеевского муниципального района на 2014-2016 годы"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</si>
  <si>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</si>
  <si>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</si>
  <si>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</si>
  <si>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</si>
  <si>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</si>
  <si>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19</t>
  </si>
  <si>
    <t>200</t>
  </si>
  <si>
    <t>тыс.рублей</t>
  </si>
  <si>
    <t>20</t>
  </si>
  <si>
    <t>21</t>
  </si>
  <si>
    <t>от "__"_____________№________</t>
  </si>
  <si>
    <t>от "__"____________.№________</t>
  </si>
  <si>
    <t>от "__"_______________№________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</si>
  <si>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</si>
  <si>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по комплектованию книжных фондов библиотек муниципальных образований</t>
  </si>
  <si>
    <t>тыс. рублей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</si>
  <si>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</si>
  <si>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Распределение  бюджетных ассигнований по разделам и подразделам, целевым статьям и видам расходов районного бюджета на 2016 год и плановый период 2017-2018 годов</t>
  </si>
  <si>
    <t>Распределение  бюджетных ассигнований  на реализацию ведомственных целевых программ на 2016 год и плановый период 2017-2018 годов</t>
  </si>
  <si>
    <t>Муниципальная программа "О поддержке деятельности казачьих обществ  Алексеевского муниципального района на 2016-2018 годы"</t>
  </si>
  <si>
    <t>Муниципальная программа "Развитие физической культуры и спорта в Алексеевском муниципальном районе на 2016-2018 годы"</t>
  </si>
  <si>
    <t>Муниципальная программа "Развитие и поддержка малого предпринимательства Алексеевского муниципального района на 2016-2018 годы "</t>
  </si>
  <si>
    <t>Раздел,</t>
  </si>
  <si>
    <t>Целевая статья (муниципальная программа и непрограммное направление деятельности)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</si>
  <si>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</si>
  <si>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</si>
  <si>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</si>
  <si>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</si>
  <si>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</si>
  <si>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</si>
  <si>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</si>
  <si>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</si>
  <si>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</si>
  <si>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</si>
  <si>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</si>
  <si>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</si>
  <si>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</si>
  <si>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Подпрограмма " Профилактика безнадзорности , правонарушений и неблагополучия несовершеннолетних"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</si>
  <si>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</si>
  <si>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</si>
  <si>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</si>
  <si>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</si>
  <si>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</si>
  <si>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Программное направление расходов (ведомственная целевая программа)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</si>
  <si>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</si>
  <si>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</si>
  <si>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</si>
  <si>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</si>
  <si>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</si>
  <si>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</si>
  <si>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</si>
  <si>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</si>
  <si>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</si>
  <si>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</si>
  <si>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</si>
  <si>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</si>
  <si>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</si>
  <si>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</si>
  <si>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</si>
  <si>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</si>
  <si>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Распределение  бюджетных ассигнований  на реализацию муниципальных целевых программ на 2016 год и плановый период 2017-2018 годов</t>
  </si>
  <si>
    <t>Основное мероприятие "Развитие муниципальной службы"</t>
  </si>
  <si>
    <t>Основное мероприятие "Мероприятия по стимулированию организаций ТОС Алексеевского муниципального района для решения вопросов уставной деятельности и обмена опытом"</t>
  </si>
  <si>
    <t>Муниципальная программа  «Охрана окружающей среды Алексеевского муниципального района на 2016-2018 годы»</t>
  </si>
  <si>
    <t>Муниципальная программа  «Развитие народных художественных промыслов Алексеевского  муниципального района на 2016-2018 годы»</t>
  </si>
  <si>
    <t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t>
  </si>
  <si>
    <t>Муниципальная программа "Поддержка социально ориентированных некоммерческих организаций  Алексеевского муниципального района на 2014-2016 годы "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</si>
  <si>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t>
  </si>
  <si>
    <t>Ведомственная целевая программа "Развитие дошкольного образования детей на  территории  Алексеевского муниципального района на 2016-2018 годы"</t>
  </si>
  <si>
    <t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t>
  </si>
  <si>
    <t>Ведомственная целевая программа "Молодежная политика  на территории Алексеевского муниципального района на 2016-2018 годы" (СДЦ)</t>
  </si>
  <si>
    <t>Ведомственная целевая программа "Развитие культуры и искусства в Алексеевском муниципальном районе на 2016-2018 годы"</t>
  </si>
  <si>
    <t>Ведомственная целевая программа "Поддержка средств массовой информации  в Алексеевском муниципальном районе на 2016-2018 годы"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</si>
  <si>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</si>
  <si>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</si>
  <si>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</si>
  <si>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</si>
  <si>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</si>
  <si>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</si>
  <si>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</si>
  <si>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"Мероприятия  по подготовке к отопительному сезону объектов социальной сферы"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</si>
  <si>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</si>
  <si>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</si>
  <si>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"Закупка контейнерных бункеров для сбора твердых бытовых отходов и утилизации"</t>
  </si>
  <si>
    <t>Основное мероприятие "Профилактические мероприятия направленные на борьбу с  наркоманией и распространением наркотиков"</t>
  </si>
  <si>
    <t>Основное мероприятие "Мероприятия молодежной политики и социальной адаптации молодежи"</t>
  </si>
  <si>
    <t>Основное мероприятие " Мероприятия, направленные на  профилактику безнадзорности и правонарушений несовершеннолетних"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</si>
  <si>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</si>
  <si>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</si>
  <si>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</si>
  <si>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"Комплекс мероприятий по формированию доступной среды жизнедеятельности"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</si>
  <si>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</si>
  <si>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"Мероприятия по строительству, реконструкции, ремонту и проектированию  автомобильных дорог общего пользования местного значения"</t>
  </si>
  <si>
    <t>Основное мероприятие "Мероприятия по финансовой поддержке социально ориентированных некоммерческих организаций"</t>
  </si>
  <si>
    <t>Основное мероприятие "Проведение работ по созданию условий для привлечения граждан к осуществлению профилактики правонарушений и обеспечения безопасности дорожного движения в границах Алексеевского муниципального района"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</si>
  <si>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</si>
  <si>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</si>
  <si>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</si>
  <si>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Изменения 2016 год</t>
  </si>
  <si>
    <t>2016 год  с учетом изменений</t>
  </si>
  <si>
    <t>Телевидение и радиовещание</t>
  </si>
  <si>
    <t>1201</t>
  </si>
  <si>
    <t>Основное мероприятие "Финансовая поддержка  молодежи, имеющей способности к ведению предпринимательской деятельности в виде денежных грантов"</t>
  </si>
  <si>
    <t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t>
  </si>
  <si>
    <t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t>
  </si>
  <si>
    <t>Муниципальная программа  "Развитие муниципальной службы в администрации Алексеевского муниципального района Волгоградской области на 2016-2018 годы"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</si>
  <si>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</si>
  <si>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Муниципальная программа "Развитие территориального общественного самоуправления Алексеевского муниципального района на 2016-2018 годы"</t>
  </si>
  <si>
    <t>Муниципальная программа "Организация отдыха и оздоровление детей в Алексеевском муниципальном районе Волгоградской области на 2016-2018 годы"</t>
  </si>
  <si>
    <t xml:space="preserve"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</si>
  <si>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</si>
  <si>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</si>
  <si>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Осуществлением полномочий по подготовке и проведению Всероссийской сельскохозяйственной переписи в 2016 году</t>
  </si>
  <si>
    <t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t>
  </si>
  <si>
    <t>Основное мероприятие "Организация отдыха и оздоровление детей на территории Алексеевского муниципального района"</t>
  </si>
  <si>
    <t>Муниципальная программа "Маршрут Победы на 2016-2018 годы"</t>
  </si>
  <si>
    <t>Муниципальная программа «Улучшение условий и охраны труда в Алексеевском муниципальном районе на 2014-2016 годы"</t>
  </si>
  <si>
    <t>Муниципальная программа "Устойчивое развитие сельских территорий  Алексеевского муниципального района на  2014-2017 годы и на период до 2020 года"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</si>
  <si>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01.01.2016 г. за счет средств областного бюджета 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</si>
  <si>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</si>
  <si>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</si>
  <si>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За счет средств на софинансирование из федерального бюджета</t>
  </si>
  <si>
    <t>Подпрограмма «Газификация Алексеевского муниципального района»</t>
  </si>
  <si>
    <t>Мероприятия по развитию газификации в сельской местности за счет субсидий из областного бюджета</t>
  </si>
  <si>
    <t>Основное мероприятие "Мероприятия по развитию газификации в сельской местности"</t>
  </si>
  <si>
    <t>Основное мероприятие "Мероприятия по ремонту объектов муниципальной собственности"</t>
  </si>
  <si>
    <t>Закупка товаров, работ и услуг в целях ремонта объектов муниципальной собственности</t>
  </si>
  <si>
    <t>Муниципальная программа «Профилактика терроризма и экстремизма на территории  Алексеевского муниципального района на 2016-2018 годы"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</si>
  <si>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</si>
  <si>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Основное мероприятие "Мероприятия по реализации мер по поддержке ветеранов ВОВ, их вдов, тружеников тыла"</t>
  </si>
  <si>
    <t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</si>
  <si>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</si>
  <si>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t>
  </si>
  <si>
    <t>22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</si>
  <si>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"</t>
  </si>
  <si>
    <t>08</t>
  </si>
  <si>
    <t>300</t>
  </si>
  <si>
    <t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</si>
  <si>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</si>
  <si>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</si>
  <si>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дотации областного бюджета</t>
  </si>
  <si>
    <t>Предоставление субсидий бюджетным, автономным учреждениям и иным некоммерческим организациям за счет средств местного бюджета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</si>
  <si>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</si>
  <si>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Предоставление субсидий бюджетным, автономным учреждениям и иным некоммерческим организациям за счет средств федерального бюджета</t>
  </si>
  <si>
    <t>Основное мероприятие "Создание в общеобразовательных организациях условий для занятий физической культурой и спортом "</t>
  </si>
  <si>
    <t>Распределение средств бюджета  Алексеевского муниципального района по главным распорядителем средств бюджета района за 1 полугодие 2016 года</t>
  </si>
  <si>
    <t>% исполнения</t>
  </si>
  <si>
    <t>Исполнено за 1 полугодие 2016 года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</si>
  <si>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 классификации расходов районного бюджета за 1 полугодие 2016 года</t>
  </si>
  <si>
    <t>Приложение №2</t>
  </si>
  <si>
    <t>УТВЕРЖДЕНО:</t>
  </si>
  <si>
    <t xml:space="preserve"> постановлением  главы администрации</t>
  </si>
  <si>
    <t>Алексеевского муниципального района</t>
  </si>
  <si>
    <t>от __________ 2016 г. №____</t>
  </si>
  <si>
    <t>Приложение №3</t>
  </si>
  <si>
    <t>решением</t>
  </si>
  <si>
    <t>от  02.09.2016 г.№ 52/326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</si>
</sst>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00"/>
    <numFmt numFmtId="167" formatCode="0.0000"/>
    <numFmt numFmtId="168" formatCode="0.000"/>
    <numFmt numFmtId="169" formatCode="#,##0.0_р_."/>
    <numFmt numFmtId="170" formatCode="#,##0.0"/>
    <numFmt numFmtId="171" formatCode="000"/>
    <numFmt numFmtId="172" formatCode="0.000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0" fontId="34" fillId="0" borderId="0" xfId="0" applyFont="1" applyFill="1" applyAlignment="1">
      <alignment/>
    </xf>
    <xf numFmtId="0" fontId="0" fillId="24" borderId="0" xfId="0" applyFill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10" fillId="24" borderId="0" xfId="53" applyFont="1" applyFill="1">
      <alignment/>
      <protection/>
    </xf>
    <xf numFmtId="0" fontId="1" fillId="0" borderId="0" xfId="53">
      <alignment/>
      <protection/>
    </xf>
    <xf numFmtId="0" fontId="10" fillId="24" borderId="0" xfId="53" applyFont="1" applyFill="1" applyAlignment="1">
      <alignment horizontal="center"/>
      <protection/>
    </xf>
    <xf numFmtId="165" fontId="1" fillId="0" borderId="0" xfId="53" applyNumberFormat="1">
      <alignment/>
      <protection/>
    </xf>
    <xf numFmtId="0" fontId="1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ill="1" applyAlignment="1">
      <alignment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13" fillId="24" borderId="0" xfId="53" applyFont="1" applyFill="1">
      <alignment/>
      <protection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3" fillId="24" borderId="10" xfId="0" applyFont="1" applyFill="1" applyBorder="1" applyAlignment="1">
      <alignment vertical="top" wrapText="1"/>
    </xf>
    <xf numFmtId="166" fontId="0" fillId="0" borderId="0" xfId="0" applyNumberFormat="1" applyFill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center" wrapText="1"/>
    </xf>
    <xf numFmtId="169" fontId="13" fillId="24" borderId="10" xfId="0" applyNumberFormat="1" applyFont="1" applyFill="1" applyBorder="1" applyAlignment="1">
      <alignment horizontal="right" wrapText="1"/>
    </xf>
    <xf numFmtId="49" fontId="13" fillId="24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left" vertical="top" wrapText="1"/>
    </xf>
    <xf numFmtId="166" fontId="7" fillId="24" borderId="10" xfId="0" applyNumberFormat="1" applyFont="1" applyFill="1" applyBorder="1" applyAlignment="1">
      <alignment horizontal="right" vertical="center" wrapText="1"/>
    </xf>
    <xf numFmtId="0" fontId="13" fillId="24" borderId="10" xfId="0" applyNumberFormat="1" applyFont="1" applyFill="1" applyBorder="1" applyAlignment="1">
      <alignment vertical="top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164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64" fontId="6" fillId="24" borderId="0" xfId="0" applyNumberFormat="1" applyFont="1" applyFill="1" applyAlignment="1">
      <alignment horizontal="center" vertical="top" wrapText="1"/>
    </xf>
    <xf numFmtId="171" fontId="13" fillId="24" borderId="10" xfId="0" applyNumberFormat="1" applyFont="1" applyFill="1" applyBorder="1" applyAlignment="1">
      <alignment horizontal="center" wrapText="1"/>
    </xf>
    <xf numFmtId="1" fontId="13" fillId="24" borderId="10" xfId="0" applyNumberFormat="1" applyFont="1" applyFill="1" applyBorder="1" applyAlignment="1">
      <alignment horizontal="center" wrapText="1"/>
    </xf>
    <xf numFmtId="165" fontId="13" fillId="24" borderId="10" xfId="0" applyNumberFormat="1" applyFont="1" applyFill="1" applyBorder="1" applyAlignment="1">
      <alignment horizontal="right" wrapText="1"/>
    </xf>
    <xf numFmtId="49" fontId="12" fillId="0" borderId="11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164" fontId="13" fillId="24" borderId="11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top" wrapText="1"/>
    </xf>
    <xf numFmtId="165" fontId="15" fillId="24" borderId="12" xfId="0" applyNumberFormat="1" applyFont="1" applyFill="1" applyBorder="1" applyAlignment="1">
      <alignment horizontal="right" vertical="center" wrapText="1"/>
    </xf>
    <xf numFmtId="165" fontId="7" fillId="24" borderId="12" xfId="0" applyNumberFormat="1" applyFont="1" applyFill="1" applyBorder="1" applyAlignment="1">
      <alignment horizontal="right" vertical="center" wrapText="1"/>
    </xf>
    <xf numFmtId="165" fontId="15" fillId="24" borderId="10" xfId="0" applyNumberFormat="1" applyFont="1" applyFill="1" applyBorder="1" applyAlignment="1">
      <alignment horizontal="right" vertical="center" wrapText="1"/>
    </xf>
    <xf numFmtId="165" fontId="7" fillId="24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1" fontId="13" fillId="24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0" fontId="7" fillId="24" borderId="10" xfId="53" applyFont="1" applyFill="1" applyBorder="1" applyAlignment="1">
      <alignment horizontal="center" vertical="top" wrapText="1"/>
      <protection/>
    </xf>
    <xf numFmtId="164" fontId="7" fillId="0" borderId="10" xfId="0" applyNumberFormat="1" applyFont="1" applyBorder="1" applyAlignment="1">
      <alignment horizontal="center" vertical="center" wrapText="1"/>
    </xf>
    <xf numFmtId="49" fontId="7" fillId="24" borderId="10" xfId="53" applyNumberFormat="1" applyFont="1" applyFill="1" applyBorder="1" applyAlignment="1">
      <alignment horizontal="right" wrapText="1"/>
      <protection/>
    </xf>
    <xf numFmtId="0" fontId="4" fillId="24" borderId="10" xfId="53" applyFont="1" applyFill="1" applyBorder="1" applyAlignment="1">
      <alignment horizontal="left" vertical="center" wrapText="1"/>
      <protection/>
    </xf>
    <xf numFmtId="165" fontId="7" fillId="24" borderId="10" xfId="53" applyNumberFormat="1" applyFont="1" applyFill="1" applyBorder="1" applyAlignment="1">
      <alignment horizontal="right" vertical="center" wrapText="1"/>
      <protection/>
    </xf>
    <xf numFmtId="0" fontId="9" fillId="24" borderId="10" xfId="53" applyFont="1" applyFill="1" applyBorder="1" applyAlignment="1">
      <alignment horizont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164" fontId="6" fillId="0" borderId="0" xfId="0" applyNumberFormat="1" applyFont="1" applyAlignment="1">
      <alignment horizontal="center" vertical="top" wrapText="1"/>
    </xf>
    <xf numFmtId="0" fontId="14" fillId="24" borderId="12" xfId="0" applyNumberFormat="1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left" vertical="top" wrapText="1"/>
    </xf>
    <xf numFmtId="165" fontId="7" fillId="24" borderId="10" xfId="0" applyNumberFormat="1" applyFont="1" applyFill="1" applyBorder="1" applyAlignment="1">
      <alignment horizontal="right" wrapText="1"/>
    </xf>
    <xf numFmtId="0" fontId="10" fillId="24" borderId="0" xfId="53" applyFont="1" applyFill="1" applyAlignment="1">
      <alignment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166" fontId="7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4" borderId="10" xfId="0" applyNumberFormat="1" applyFont="1" applyFill="1" applyBorder="1" applyAlignment="1">
      <alignment horizontal="center" wrapText="1"/>
    </xf>
    <xf numFmtId="166" fontId="7" fillId="24" borderId="10" xfId="0" applyNumberFormat="1" applyFont="1" applyFill="1" applyBorder="1" applyAlignment="1">
      <alignment horizontal="right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right" vertical="center"/>
    </xf>
    <xf numFmtId="0" fontId="10" fillId="24" borderId="0" xfId="53" applyFont="1" applyFill="1" applyAlignment="1">
      <alignment horizontal="right"/>
      <protection/>
    </xf>
    <xf numFmtId="0" fontId="10" fillId="24" borderId="0" xfId="53" applyFont="1" applyFill="1" applyAlignment="1">
      <alignment horizontal="center" wrapText="1" shrinkToFit="1"/>
      <protection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>
      <alignment horizontal="center" wrapText="1"/>
    </xf>
    <xf numFmtId="0" fontId="10" fillId="24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="110" zoomScaleNormal="110" zoomScalePageLayoutView="0" workbookViewId="0" topLeftCell="A37">
      <selection activeCell="F10" sqref="F10"/>
    </sheetView>
  </sheetViews>
  <sheetFormatPr defaultColWidth="9.140625" defaultRowHeight="12.75"/>
  <cols>
    <col min="1" max="1" width="6.57421875" style="21" customWidth="1"/>
    <col min="2" max="2" width="48.00390625" style="21" customWidth="1"/>
    <col min="3" max="3" width="12.8515625" style="21" hidden="1" customWidth="1"/>
    <col min="4" max="5" width="13.28125" style="21" customWidth="1"/>
    <col min="6" max="6" width="12.8515625" style="21" customWidth="1"/>
    <col min="7" max="7" width="14.00390625" style="21" customWidth="1"/>
    <col min="8" max="16384" width="9.140625" style="21" customWidth="1"/>
  </cols>
  <sheetData>
    <row r="1" spans="1:6" ht="16.5">
      <c r="A1" s="132" t="s">
        <v>326</v>
      </c>
      <c r="B1" s="132"/>
      <c r="C1" s="132"/>
      <c r="D1" s="132"/>
      <c r="E1" s="132"/>
      <c r="F1" s="132"/>
    </row>
    <row r="2" spans="1:6" ht="16.5">
      <c r="A2" s="132" t="s">
        <v>327</v>
      </c>
      <c r="B2" s="132"/>
      <c r="C2" s="132"/>
      <c r="D2" s="132"/>
      <c r="E2" s="132"/>
      <c r="F2" s="132"/>
    </row>
    <row r="3" spans="1:6" ht="16.5">
      <c r="A3" s="132" t="s">
        <v>328</v>
      </c>
      <c r="B3" s="132"/>
      <c r="C3" s="132"/>
      <c r="D3" s="132"/>
      <c r="E3" s="132"/>
      <c r="F3" s="132"/>
    </row>
    <row r="4" spans="1:6" ht="16.5">
      <c r="A4" s="132" t="s">
        <v>329</v>
      </c>
      <c r="B4" s="132"/>
      <c r="C4" s="132"/>
      <c r="D4" s="132"/>
      <c r="E4" s="132"/>
      <c r="F4" s="132"/>
    </row>
    <row r="5" spans="1:7" ht="16.5">
      <c r="A5" s="132" t="s">
        <v>330</v>
      </c>
      <c r="B5" s="132"/>
      <c r="C5" s="132"/>
      <c r="D5" s="132"/>
      <c r="E5" s="132"/>
      <c r="F5" s="132"/>
      <c r="G5" s="122"/>
    </row>
    <row r="6" spans="1:6" ht="16.5">
      <c r="A6" s="132"/>
      <c r="B6" s="132"/>
      <c r="C6" s="132"/>
      <c r="D6" s="132"/>
      <c r="E6" s="132"/>
      <c r="F6" s="132"/>
    </row>
    <row r="7" spans="1:6" ht="59.25" customHeight="1">
      <c r="A7" s="133" t="s">
        <v>325</v>
      </c>
      <c r="B7" s="133"/>
      <c r="C7" s="133"/>
      <c r="D7" s="133"/>
      <c r="E7" s="133"/>
      <c r="F7" s="133"/>
    </row>
    <row r="8" spans="1:6" ht="16.5">
      <c r="A8" s="22" t="s">
        <v>146</v>
      </c>
      <c r="B8" s="20"/>
      <c r="C8" s="20"/>
      <c r="D8" s="20"/>
      <c r="E8" s="20"/>
      <c r="F8" s="40" t="s">
        <v>192</v>
      </c>
    </row>
    <row r="9" spans="1:6" ht="63">
      <c r="A9" s="103" t="s">
        <v>147</v>
      </c>
      <c r="B9" s="103" t="s">
        <v>148</v>
      </c>
      <c r="C9" s="104" t="s">
        <v>275</v>
      </c>
      <c r="D9" s="104" t="s">
        <v>276</v>
      </c>
      <c r="E9" s="103" t="s">
        <v>324</v>
      </c>
      <c r="F9" s="103" t="s">
        <v>323</v>
      </c>
    </row>
    <row r="10" spans="1:6" ht="16.5" customHeight="1">
      <c r="A10" s="105" t="s">
        <v>48</v>
      </c>
      <c r="B10" s="106" t="s">
        <v>149</v>
      </c>
      <c r="C10" s="107">
        <f>SUM(C11:C19)</f>
        <v>1577.227</v>
      </c>
      <c r="D10" s="107">
        <f>SUM(D11:D19)</f>
        <v>69872.12084</v>
      </c>
      <c r="E10" s="107">
        <f>SUM(E11:E19)</f>
        <v>29794.335420000003</v>
      </c>
      <c r="F10" s="107">
        <f aca="true" t="shared" si="0" ref="F10:F15">SUM(E10/D10)*100</f>
        <v>42.64123524778356</v>
      </c>
    </row>
    <row r="11" spans="1:6" ht="29.25" customHeight="1">
      <c r="A11" s="105" t="s">
        <v>49</v>
      </c>
      <c r="B11" s="106" t="s">
        <v>150</v>
      </c>
      <c r="C11" s="107">
        <f>SUM('Таблица №7'!F11)</f>
        <v>0</v>
      </c>
      <c r="D11" s="107">
        <f>SUM('Таблица №7'!G11)</f>
        <v>600</v>
      </c>
      <c r="E11" s="107">
        <f>SUM('Таблица №7'!H11)</f>
        <v>430.75974</v>
      </c>
      <c r="F11" s="107">
        <f t="shared" si="0"/>
        <v>71.79329</v>
      </c>
    </row>
    <row r="12" spans="1:6" ht="28.5" customHeight="1">
      <c r="A12" s="105" t="s">
        <v>34</v>
      </c>
      <c r="B12" s="106" t="s">
        <v>151</v>
      </c>
      <c r="C12" s="107">
        <f>SUM('Таблица №7'!F14)</f>
        <v>0</v>
      </c>
      <c r="D12" s="107">
        <f>SUM('Таблица №7'!G14)</f>
        <v>380</v>
      </c>
      <c r="E12" s="107">
        <f>SUM('Таблица №7'!H14)</f>
        <v>180.53788</v>
      </c>
      <c r="F12" s="107">
        <f t="shared" si="0"/>
        <v>47.50996842105263</v>
      </c>
    </row>
    <row r="13" spans="1:6" ht="19.5" customHeight="1">
      <c r="A13" s="105" t="s">
        <v>47</v>
      </c>
      <c r="B13" s="106" t="s">
        <v>152</v>
      </c>
      <c r="C13" s="107">
        <f>SUM('Таблица №7'!F20)</f>
        <v>0</v>
      </c>
      <c r="D13" s="107">
        <f>SUM('Таблица №7'!G20)</f>
        <v>29156.7</v>
      </c>
      <c r="E13" s="107">
        <f>SUM('Таблица №7'!H20)</f>
        <v>13600.74597</v>
      </c>
      <c r="F13" s="107">
        <f t="shared" si="0"/>
        <v>46.64706900986737</v>
      </c>
    </row>
    <row r="14" spans="1:6" ht="15" customHeight="1">
      <c r="A14" s="105" t="s">
        <v>50</v>
      </c>
      <c r="B14" s="106" t="s">
        <v>42</v>
      </c>
      <c r="C14" s="107">
        <f>SUM('Приложение 3'!G54)</f>
        <v>0</v>
      </c>
      <c r="D14" s="107">
        <f>SUM('Приложение 3'!H54)</f>
        <v>20.1</v>
      </c>
      <c r="E14" s="107">
        <f>SUM('Приложение 3'!I54)</f>
        <v>0</v>
      </c>
      <c r="F14" s="107">
        <f t="shared" si="0"/>
        <v>0</v>
      </c>
    </row>
    <row r="15" spans="1:6" ht="42.75" customHeight="1">
      <c r="A15" s="105" t="s">
        <v>38</v>
      </c>
      <c r="B15" s="106" t="s">
        <v>153</v>
      </c>
      <c r="C15" s="107">
        <f>SUM('Таблица №7'!F46)</f>
        <v>0</v>
      </c>
      <c r="D15" s="107">
        <f>SUM('Таблица №7'!G46)</f>
        <v>1486</v>
      </c>
      <c r="E15" s="107">
        <f>SUM('Таблица №7'!H46)</f>
        <v>652.31551</v>
      </c>
      <c r="F15" s="107">
        <f t="shared" si="0"/>
        <v>43.89740982503365</v>
      </c>
    </row>
    <row r="16" spans="1:6" ht="16.5" customHeight="1">
      <c r="A16" s="105" t="s">
        <v>51</v>
      </c>
      <c r="B16" s="106" t="s">
        <v>43</v>
      </c>
      <c r="C16" s="107">
        <f>SUM('Таблица №7'!F53)</f>
        <v>0</v>
      </c>
      <c r="D16" s="107">
        <f>SUM('Таблица №7'!G53)</f>
        <v>0</v>
      </c>
      <c r="E16" s="107">
        <f>SUM('Таблица №7'!H53)</f>
        <v>0</v>
      </c>
      <c r="F16" s="107">
        <v>0</v>
      </c>
    </row>
    <row r="17" spans="1:6" ht="16.5" customHeight="1">
      <c r="A17" s="105" t="s">
        <v>52</v>
      </c>
      <c r="B17" s="106" t="s">
        <v>154</v>
      </c>
      <c r="C17" s="107">
        <f>SUM('Таблица №7'!F57)</f>
        <v>0</v>
      </c>
      <c r="D17" s="107">
        <f>SUM('Таблица №7'!G57)</f>
        <v>320</v>
      </c>
      <c r="E17" s="107">
        <f>SUM('Таблица №7'!H57)</f>
        <v>0</v>
      </c>
      <c r="F17" s="107">
        <f>SUM(E17/D17)*100</f>
        <v>0</v>
      </c>
    </row>
    <row r="18" spans="1:6" ht="16.5" customHeight="1">
      <c r="A18" s="105" t="s">
        <v>35</v>
      </c>
      <c r="B18" s="106" t="s">
        <v>155</v>
      </c>
      <c r="C18" s="107">
        <f>SUM('Таблица №7'!F59)-C19</f>
        <v>1577.227</v>
      </c>
      <c r="D18" s="107">
        <f>SUM('Таблица №7'!G59)-D19</f>
        <v>37909.32084</v>
      </c>
      <c r="E18" s="107">
        <f>SUM('Таблица №7'!H59)-E19</f>
        <v>14929.976320000002</v>
      </c>
      <c r="F18" s="107">
        <f>SUM(E18/D18)*100</f>
        <v>39.38339170731501</v>
      </c>
    </row>
    <row r="19" spans="1:6" ht="16.5" customHeight="1">
      <c r="A19" s="105" t="s">
        <v>35</v>
      </c>
      <c r="B19" s="106" t="s">
        <v>57</v>
      </c>
      <c r="C19" s="107">
        <f>SUM('Таблица №7'!F93)</f>
        <v>0</v>
      </c>
      <c r="D19" s="107">
        <f>SUM('Таблица №7'!G93)</f>
        <v>0</v>
      </c>
      <c r="E19" s="107">
        <f>SUM('Таблица №7'!H93)</f>
        <v>0</v>
      </c>
      <c r="F19" s="107">
        <v>0</v>
      </c>
    </row>
    <row r="20" spans="1:6" ht="16.5" customHeight="1">
      <c r="A20" s="105" t="s">
        <v>134</v>
      </c>
      <c r="B20" s="106" t="s">
        <v>156</v>
      </c>
      <c r="C20" s="107">
        <f>SUM(C21)</f>
        <v>0</v>
      </c>
      <c r="D20" s="107">
        <f>SUM(D21)</f>
        <v>20</v>
      </c>
      <c r="E20" s="107">
        <f>SUM(E21)</f>
        <v>0</v>
      </c>
      <c r="F20" s="107">
        <f aca="true" t="shared" si="1" ref="F20:F28">SUM(E20/D20)*100</f>
        <v>0</v>
      </c>
    </row>
    <row r="21" spans="1:6" ht="16.5" customHeight="1">
      <c r="A21" s="105" t="s">
        <v>61</v>
      </c>
      <c r="B21" s="106" t="s">
        <v>60</v>
      </c>
      <c r="C21" s="107">
        <f>SUM('Таблица №7'!F94)</f>
        <v>0</v>
      </c>
      <c r="D21" s="107">
        <f>SUM('Таблица №7'!G94)</f>
        <v>20</v>
      </c>
      <c r="E21" s="107">
        <f>SUM('Таблица №7'!H94)</f>
        <v>0</v>
      </c>
      <c r="F21" s="107">
        <f t="shared" si="1"/>
        <v>0</v>
      </c>
    </row>
    <row r="22" spans="1:6" ht="27.75" customHeight="1">
      <c r="A22" s="105" t="s">
        <v>135</v>
      </c>
      <c r="B22" s="106" t="s">
        <v>139</v>
      </c>
      <c r="C22" s="107">
        <f>SUM(C23:C23)</f>
        <v>0</v>
      </c>
      <c r="D22" s="107">
        <f>SUM(D23:D23)</f>
        <v>70</v>
      </c>
      <c r="E22" s="107">
        <f>SUM(E23:E23)</f>
        <v>0</v>
      </c>
      <c r="F22" s="107">
        <f t="shared" si="1"/>
        <v>0</v>
      </c>
    </row>
    <row r="23" spans="1:6" ht="42.75" customHeight="1">
      <c r="A23" s="105" t="s">
        <v>62</v>
      </c>
      <c r="B23" s="106" t="s">
        <v>157</v>
      </c>
      <c r="C23" s="107">
        <f>SUM('Таблица №7'!F99)</f>
        <v>0</v>
      </c>
      <c r="D23" s="107">
        <f>SUM('Таблица №7'!G99)</f>
        <v>70</v>
      </c>
      <c r="E23" s="107">
        <f>SUM('Таблица №7'!H99)</f>
        <v>0</v>
      </c>
      <c r="F23" s="107">
        <f t="shared" si="1"/>
        <v>0</v>
      </c>
    </row>
    <row r="24" spans="1:6" ht="15.75" customHeight="1">
      <c r="A24" s="105" t="s">
        <v>73</v>
      </c>
      <c r="B24" s="106" t="s">
        <v>142</v>
      </c>
      <c r="C24" s="107">
        <f>SUM(C25:C27)</f>
        <v>0</v>
      </c>
      <c r="D24" s="107">
        <f>SUM(D25:D27)</f>
        <v>14004.837809999999</v>
      </c>
      <c r="E24" s="107">
        <f>SUM(E25:E27)</f>
        <v>185.7039</v>
      </c>
      <c r="F24" s="107">
        <f t="shared" si="1"/>
        <v>1.3259982194681341</v>
      </c>
    </row>
    <row r="25" spans="1:6" ht="15.75" customHeight="1">
      <c r="A25" s="105" t="s">
        <v>178</v>
      </c>
      <c r="B25" s="106" t="s">
        <v>177</v>
      </c>
      <c r="C25" s="107">
        <f>SUM('Таблица №7'!F107)</f>
        <v>0</v>
      </c>
      <c r="D25" s="107">
        <f>SUM('Таблица №7'!G107)</f>
        <v>24.8</v>
      </c>
      <c r="E25" s="107">
        <f>SUM('Таблица №7'!H107)</f>
        <v>0</v>
      </c>
      <c r="F25" s="107">
        <f t="shared" si="1"/>
        <v>0</v>
      </c>
    </row>
    <row r="26" spans="1:6" ht="15.75" customHeight="1">
      <c r="A26" s="105" t="s">
        <v>63</v>
      </c>
      <c r="B26" s="106" t="s">
        <v>143</v>
      </c>
      <c r="C26" s="107">
        <f>SUM('Таблица №7'!F111)</f>
        <v>0</v>
      </c>
      <c r="D26" s="107">
        <f>SUM('Таблица №7'!G111)</f>
        <v>10625.03781</v>
      </c>
      <c r="E26" s="107">
        <f>SUM('Таблица №7'!H111)</f>
        <v>0</v>
      </c>
      <c r="F26" s="107">
        <f t="shared" si="1"/>
        <v>0</v>
      </c>
    </row>
    <row r="27" spans="1:6" ht="15.75" customHeight="1">
      <c r="A27" s="105" t="s">
        <v>65</v>
      </c>
      <c r="B27" s="106" t="s">
        <v>144</v>
      </c>
      <c r="C27" s="107">
        <f>SUM('Таблица №7'!F115)</f>
        <v>0</v>
      </c>
      <c r="D27" s="107">
        <f>SUM('Таблица №7'!G115)</f>
        <v>3355</v>
      </c>
      <c r="E27" s="107">
        <f>SUM('Таблица №7'!H115)</f>
        <v>185.7039</v>
      </c>
      <c r="F27" s="107">
        <f t="shared" si="1"/>
        <v>5.535138599105812</v>
      </c>
    </row>
    <row r="28" spans="1:6" ht="15.75" customHeight="1">
      <c r="A28" s="105" t="s">
        <v>69</v>
      </c>
      <c r="B28" s="106" t="s">
        <v>158</v>
      </c>
      <c r="C28" s="107">
        <f>SUM(C29:C31)</f>
        <v>0</v>
      </c>
      <c r="D28" s="107">
        <f>SUM(D29:D31)</f>
        <v>5590.233319999999</v>
      </c>
      <c r="E28" s="107">
        <f>SUM(E29:E31)</f>
        <v>1997.0142799999999</v>
      </c>
      <c r="F28" s="107">
        <f t="shared" si="1"/>
        <v>35.72327245904649</v>
      </c>
    </row>
    <row r="29" spans="1:6" ht="15.75" customHeight="1">
      <c r="A29" s="105" t="s">
        <v>207</v>
      </c>
      <c r="B29" s="106" t="s">
        <v>206</v>
      </c>
      <c r="C29" s="107">
        <f>SUM('Таблица №7'!F130)</f>
        <v>-100</v>
      </c>
      <c r="D29" s="107">
        <f>SUM('Таблица №7'!G130)</f>
        <v>0</v>
      </c>
      <c r="E29" s="107">
        <f>SUM('Таблица №7'!H130)</f>
        <v>0</v>
      </c>
      <c r="F29" s="107">
        <v>0</v>
      </c>
    </row>
    <row r="30" spans="1:6" ht="15.75" customHeight="1">
      <c r="A30" s="105" t="s">
        <v>70</v>
      </c>
      <c r="B30" s="106" t="s">
        <v>66</v>
      </c>
      <c r="C30" s="107">
        <f>SUM('Таблица №7'!F133)</f>
        <v>100</v>
      </c>
      <c r="D30" s="107">
        <f>SUM('Таблица №7'!G133)</f>
        <v>5590.233319999999</v>
      </c>
      <c r="E30" s="107">
        <f>SUM('Таблица №7'!H133)</f>
        <v>1997.0142799999999</v>
      </c>
      <c r="F30" s="107">
        <f>SUM(E30/D30)*100</f>
        <v>35.72327245904649</v>
      </c>
    </row>
    <row r="31" spans="1:6" ht="15.75" customHeight="1">
      <c r="A31" s="105" t="s">
        <v>159</v>
      </c>
      <c r="B31" s="106" t="s">
        <v>160</v>
      </c>
      <c r="C31" s="107">
        <v>0</v>
      </c>
      <c r="D31" s="107">
        <v>0</v>
      </c>
      <c r="E31" s="107">
        <v>0</v>
      </c>
      <c r="F31" s="107">
        <v>0</v>
      </c>
    </row>
    <row r="32" spans="1:6" ht="15.75" customHeight="1">
      <c r="A32" s="105" t="s">
        <v>136</v>
      </c>
      <c r="B32" s="106" t="s">
        <v>71</v>
      </c>
      <c r="C32" s="107">
        <f>SUM(C33)</f>
        <v>0</v>
      </c>
      <c r="D32" s="107">
        <f>SUM(D33)</f>
        <v>50</v>
      </c>
      <c r="E32" s="107">
        <f>SUM(E33)</f>
        <v>0</v>
      </c>
      <c r="F32" s="107">
        <f aca="true" t="shared" si="2" ref="F32:F49">SUM(E32/D32)*100</f>
        <v>0</v>
      </c>
    </row>
    <row r="33" spans="1:6" ht="15.75" customHeight="1">
      <c r="A33" s="105" t="s">
        <v>74</v>
      </c>
      <c r="B33" s="106" t="s">
        <v>72</v>
      </c>
      <c r="C33" s="107">
        <f>SUM('Таблица №7'!F147)</f>
        <v>0</v>
      </c>
      <c r="D33" s="107">
        <f>SUM('Таблица №7'!G147)</f>
        <v>50</v>
      </c>
      <c r="E33" s="107">
        <f>SUM('Таблица №7'!H147)</f>
        <v>0</v>
      </c>
      <c r="F33" s="107">
        <f t="shared" si="2"/>
        <v>0</v>
      </c>
    </row>
    <row r="34" spans="1:7" ht="18" customHeight="1">
      <c r="A34" s="105" t="s">
        <v>78</v>
      </c>
      <c r="B34" s="106" t="s">
        <v>75</v>
      </c>
      <c r="C34" s="107">
        <f>SUM(C35:C38)</f>
        <v>4277.8730000000005</v>
      </c>
      <c r="D34" s="107">
        <f>SUM(D35:D38)</f>
        <v>160893.272</v>
      </c>
      <c r="E34" s="107">
        <f>SUM(E35:E38)</f>
        <v>93075.89220000002</v>
      </c>
      <c r="F34" s="107">
        <f t="shared" si="2"/>
        <v>57.84946197128741</v>
      </c>
      <c r="G34" s="23"/>
    </row>
    <row r="35" spans="1:6" ht="18" customHeight="1">
      <c r="A35" s="105" t="s">
        <v>77</v>
      </c>
      <c r="B35" s="106" t="s">
        <v>76</v>
      </c>
      <c r="C35" s="107">
        <f>SUM('Таблица №7'!F151)</f>
        <v>1387.564</v>
      </c>
      <c r="D35" s="107">
        <f>SUM('Таблица №7'!G151)</f>
        <v>26838.063999999995</v>
      </c>
      <c r="E35" s="107">
        <f>SUM('Таблица №7'!H151)</f>
        <v>14766.145910000001</v>
      </c>
      <c r="F35" s="107">
        <f t="shared" si="2"/>
        <v>55.01941537213714</v>
      </c>
    </row>
    <row r="36" spans="1:6" ht="18" customHeight="1">
      <c r="A36" s="105" t="s">
        <v>79</v>
      </c>
      <c r="B36" s="106" t="s">
        <v>85</v>
      </c>
      <c r="C36" s="107">
        <f>SUM('Таблица №7'!F164)</f>
        <v>2516.236</v>
      </c>
      <c r="D36" s="107">
        <f>SUM('Таблица №7'!G164)</f>
        <v>127094.935</v>
      </c>
      <c r="E36" s="107">
        <f>SUM('Таблица №7'!H164)</f>
        <v>74747.65303000002</v>
      </c>
      <c r="F36" s="107">
        <f t="shared" si="2"/>
        <v>58.81245623989659</v>
      </c>
    </row>
    <row r="37" spans="1:6" ht="18" customHeight="1">
      <c r="A37" s="105" t="s">
        <v>86</v>
      </c>
      <c r="B37" s="106" t="s">
        <v>161</v>
      </c>
      <c r="C37" s="107">
        <f>SUM('Таблица №7'!F202)</f>
        <v>198.223</v>
      </c>
      <c r="D37" s="107">
        <f>SUM('Таблица №7'!G202)</f>
        <v>6159.423000000001</v>
      </c>
      <c r="E37" s="107">
        <f>SUM('Таблица №7'!H202)</f>
        <v>3204.91613</v>
      </c>
      <c r="F37" s="107">
        <f t="shared" si="2"/>
        <v>52.03273309853861</v>
      </c>
    </row>
    <row r="38" spans="1:6" ht="18" customHeight="1">
      <c r="A38" s="105" t="s">
        <v>89</v>
      </c>
      <c r="B38" s="106" t="s">
        <v>88</v>
      </c>
      <c r="C38" s="107">
        <f>SUM('Таблица №7'!F221)</f>
        <v>175.85</v>
      </c>
      <c r="D38" s="107">
        <f>SUM('Таблица №7'!G221)</f>
        <v>800.85</v>
      </c>
      <c r="E38" s="107">
        <f>SUM('Таблица №7'!H221)</f>
        <v>357.17713</v>
      </c>
      <c r="F38" s="107">
        <f t="shared" si="2"/>
        <v>44.599754011362926</v>
      </c>
    </row>
    <row r="39" spans="1:7" ht="18" customHeight="1">
      <c r="A39" s="105" t="s">
        <v>137</v>
      </c>
      <c r="B39" s="106" t="s">
        <v>162</v>
      </c>
      <c r="C39" s="107">
        <f>SUM(C40:C42)</f>
        <v>0</v>
      </c>
      <c r="D39" s="107">
        <f>SUM(D40:D42)</f>
        <v>8917.6</v>
      </c>
      <c r="E39" s="107">
        <f>SUM(E40:E42)</f>
        <v>5259.18447</v>
      </c>
      <c r="F39" s="107">
        <f t="shared" si="2"/>
        <v>58.975334955593425</v>
      </c>
      <c r="G39" s="23"/>
    </row>
    <row r="40" spans="1:6" ht="18" customHeight="1">
      <c r="A40" s="105" t="s">
        <v>96</v>
      </c>
      <c r="B40" s="106" t="s">
        <v>138</v>
      </c>
      <c r="C40" s="107">
        <f>SUM('Таблица №7'!F229+'Таблица №7'!F231+'Таблица №7'!F234+'Таблица №7'!F237+'Таблица №7'!F239)</f>
        <v>0</v>
      </c>
      <c r="D40" s="107">
        <f>SUM('Таблица №7'!G229+'Таблица №7'!G231+'Таблица №7'!G234+'Таблица №7'!G237+'Таблица №7'!G239)</f>
        <v>7949.6</v>
      </c>
      <c r="E40" s="107">
        <f>SUM('Таблица №7'!H229+'Таблица №7'!H231+'Таблица №7'!H234+'Таблица №7'!H237+'Таблица №7'!H239)</f>
        <v>4732.08745</v>
      </c>
      <c r="F40" s="107">
        <f t="shared" si="2"/>
        <v>59.52610760289826</v>
      </c>
    </row>
    <row r="41" spans="1:6" ht="18" customHeight="1">
      <c r="A41" s="105" t="s">
        <v>97</v>
      </c>
      <c r="B41" s="106" t="s">
        <v>94</v>
      </c>
      <c r="C41" s="107">
        <f>SUM('Таблица №7'!F243)</f>
        <v>0</v>
      </c>
      <c r="D41" s="107">
        <f>SUM('Таблица №7'!G243)</f>
        <v>259</v>
      </c>
      <c r="E41" s="107">
        <f>SUM('Таблица №7'!H243)</f>
        <v>111.98483</v>
      </c>
      <c r="F41" s="107">
        <f t="shared" si="2"/>
        <v>43.2373861003861</v>
      </c>
    </row>
    <row r="42" spans="1:6" ht="31.5" customHeight="1">
      <c r="A42" s="105" t="s">
        <v>98</v>
      </c>
      <c r="B42" s="106" t="s">
        <v>95</v>
      </c>
      <c r="C42" s="107">
        <f>SUM('Таблица №7'!F245)</f>
        <v>0</v>
      </c>
      <c r="D42" s="107">
        <f>SUM('Таблица №7'!G245)</f>
        <v>709</v>
      </c>
      <c r="E42" s="107">
        <f>SUM('Таблица №7'!H245)</f>
        <v>415.11219</v>
      </c>
      <c r="F42" s="107">
        <f t="shared" si="2"/>
        <v>58.54896897038082</v>
      </c>
    </row>
    <row r="43" spans="1:6" ht="18" customHeight="1">
      <c r="A43" s="105">
        <v>1000</v>
      </c>
      <c r="B43" s="106" t="s">
        <v>99</v>
      </c>
      <c r="C43" s="107">
        <f>SUM(C44:C46)</f>
        <v>1451.6</v>
      </c>
      <c r="D43" s="107">
        <f>SUM(D44:D46)</f>
        <v>16276.560000000001</v>
      </c>
      <c r="E43" s="107">
        <f>SUM(E44:E46)</f>
        <v>12154.49624</v>
      </c>
      <c r="F43" s="107">
        <f t="shared" si="2"/>
        <v>74.6748467735197</v>
      </c>
    </row>
    <row r="44" spans="1:6" ht="18" customHeight="1">
      <c r="A44" s="105">
        <v>1001</v>
      </c>
      <c r="B44" s="106" t="s">
        <v>100</v>
      </c>
      <c r="C44" s="107">
        <f>SUM('Таблица №7'!F248)</f>
        <v>0</v>
      </c>
      <c r="D44" s="107">
        <f>SUM('Таблица №7'!G248)</f>
        <v>1400</v>
      </c>
      <c r="E44" s="107">
        <f>SUM('Таблица №7'!H248)</f>
        <v>465.85975</v>
      </c>
      <c r="F44" s="107">
        <f t="shared" si="2"/>
        <v>33.27569642857143</v>
      </c>
    </row>
    <row r="45" spans="1:6" ht="18" customHeight="1">
      <c r="A45" s="105">
        <v>1003</v>
      </c>
      <c r="B45" s="106" t="s">
        <v>104</v>
      </c>
      <c r="C45" s="107">
        <f>SUM('Таблица №7'!F251)</f>
        <v>1254</v>
      </c>
      <c r="D45" s="107">
        <f>SUM('Таблица №7'!G251)</f>
        <v>11117.960000000001</v>
      </c>
      <c r="E45" s="107">
        <f>SUM('Таблица №7'!H251)</f>
        <v>8697.10771</v>
      </c>
      <c r="F45" s="107">
        <f t="shared" si="2"/>
        <v>78.22575103706075</v>
      </c>
    </row>
    <row r="46" spans="1:6" ht="18" customHeight="1">
      <c r="A46" s="105">
        <v>1004</v>
      </c>
      <c r="B46" s="106" t="s">
        <v>163</v>
      </c>
      <c r="C46" s="107">
        <f>SUM('Таблица №7'!F262)</f>
        <v>197.60000000000002</v>
      </c>
      <c r="D46" s="107">
        <f>SUM('Таблица №7'!G262)</f>
        <v>3758.6</v>
      </c>
      <c r="E46" s="107">
        <f>SUM('Таблица №7'!H262)</f>
        <v>2991.52878</v>
      </c>
      <c r="F46" s="107">
        <f t="shared" si="2"/>
        <v>79.59157079763742</v>
      </c>
    </row>
    <row r="47" spans="1:6" ht="18" customHeight="1">
      <c r="A47" s="105" t="s">
        <v>164</v>
      </c>
      <c r="B47" s="106" t="s">
        <v>165</v>
      </c>
      <c r="C47" s="107">
        <f>SUM(C48)</f>
        <v>0</v>
      </c>
      <c r="D47" s="107">
        <f>SUM(D48)</f>
        <v>760</v>
      </c>
      <c r="E47" s="107">
        <f>SUM(E48)</f>
        <v>536.18477</v>
      </c>
      <c r="F47" s="107">
        <f t="shared" si="2"/>
        <v>70.55062763157895</v>
      </c>
    </row>
    <row r="48" spans="1:6" ht="18" customHeight="1">
      <c r="A48" s="105" t="s">
        <v>109</v>
      </c>
      <c r="B48" s="106" t="s">
        <v>165</v>
      </c>
      <c r="C48" s="107">
        <f>SUM('Таблица №7'!F270)</f>
        <v>0</v>
      </c>
      <c r="D48" s="107">
        <f>SUM('Таблица №7'!G270)</f>
        <v>760</v>
      </c>
      <c r="E48" s="107">
        <f>SUM('Таблица №7'!H270)</f>
        <v>536.18477</v>
      </c>
      <c r="F48" s="107">
        <f t="shared" si="2"/>
        <v>70.55062763157895</v>
      </c>
    </row>
    <row r="49" spans="1:6" ht="18" customHeight="1">
      <c r="A49" s="105" t="s">
        <v>166</v>
      </c>
      <c r="B49" s="106" t="s">
        <v>110</v>
      </c>
      <c r="C49" s="107">
        <f>SUM(C50:C51)</f>
        <v>0</v>
      </c>
      <c r="D49" s="107">
        <f>SUM(D50:D51)</f>
        <v>1877.551</v>
      </c>
      <c r="E49" s="107">
        <f>SUM(E50:E51)</f>
        <v>1289.551</v>
      </c>
      <c r="F49" s="107">
        <f t="shared" si="2"/>
        <v>68.68260835524575</v>
      </c>
    </row>
    <row r="50" spans="1:6" ht="18" customHeight="1">
      <c r="A50" s="105" t="s">
        <v>278</v>
      </c>
      <c r="B50" s="106" t="s">
        <v>277</v>
      </c>
      <c r="C50" s="107">
        <f>SUM('Приложение 3'!G281)</f>
        <v>0</v>
      </c>
      <c r="D50" s="107">
        <f>SUM('Приложение 3'!H281)</f>
        <v>0</v>
      </c>
      <c r="E50" s="107">
        <f>SUM('Приложение 3'!I281)</f>
        <v>0</v>
      </c>
      <c r="F50" s="107">
        <v>0</v>
      </c>
    </row>
    <row r="51" spans="1:6" ht="18" customHeight="1">
      <c r="A51" s="105" t="s">
        <v>112</v>
      </c>
      <c r="B51" s="106" t="s">
        <v>111</v>
      </c>
      <c r="C51" s="107">
        <f>SUM('Приложение 3'!G282)</f>
        <v>0</v>
      </c>
      <c r="D51" s="107">
        <f>SUM('Приложение 3'!H282)</f>
        <v>1877.551</v>
      </c>
      <c r="E51" s="107">
        <f>SUM('Приложение 3'!I282)</f>
        <v>1289.551</v>
      </c>
      <c r="F51" s="107">
        <f aca="true" t="shared" si="3" ref="F51:F56">SUM(E51/D51)*100</f>
        <v>68.68260835524575</v>
      </c>
    </row>
    <row r="52" spans="1:6" ht="29.25" customHeight="1">
      <c r="A52" s="105" t="s">
        <v>167</v>
      </c>
      <c r="B52" s="106" t="s">
        <v>113</v>
      </c>
      <c r="C52" s="107">
        <f>SUM(C53:C53)</f>
        <v>312.5</v>
      </c>
      <c r="D52" s="107">
        <f>SUM(D53:D53)</f>
        <v>312.5</v>
      </c>
      <c r="E52" s="107">
        <f>SUM(E53:E53)</f>
        <v>0</v>
      </c>
      <c r="F52" s="107">
        <f t="shared" si="3"/>
        <v>0</v>
      </c>
    </row>
    <row r="53" spans="1:6" ht="31.5" customHeight="1">
      <c r="A53" s="105" t="s">
        <v>115</v>
      </c>
      <c r="B53" s="106" t="s">
        <v>114</v>
      </c>
      <c r="C53" s="107">
        <f>SUM('Таблица №7'!F279)</f>
        <v>312.5</v>
      </c>
      <c r="D53" s="107">
        <f>SUM('Таблица №7'!G279)</f>
        <v>312.5</v>
      </c>
      <c r="E53" s="107">
        <f>SUM('Таблица №7'!H279)</f>
        <v>0</v>
      </c>
      <c r="F53" s="107">
        <f t="shared" si="3"/>
        <v>0</v>
      </c>
    </row>
    <row r="54" spans="1:6" ht="43.5" customHeight="1">
      <c r="A54" s="105" t="s">
        <v>223</v>
      </c>
      <c r="B54" s="106" t="s">
        <v>222</v>
      </c>
      <c r="C54" s="107">
        <f>SUM(C55:C55)</f>
        <v>0</v>
      </c>
      <c r="D54" s="107">
        <f>SUM(D55:D55)</f>
        <v>4638</v>
      </c>
      <c r="E54" s="107">
        <f>SUM(E55:E55)</f>
        <v>1656.1</v>
      </c>
      <c r="F54" s="107">
        <f t="shared" si="3"/>
        <v>35.70720137990513</v>
      </c>
    </row>
    <row r="55" spans="1:6" ht="31.5" customHeight="1">
      <c r="A55" s="105" t="s">
        <v>225</v>
      </c>
      <c r="B55" s="106" t="s">
        <v>224</v>
      </c>
      <c r="C55" s="107">
        <f>SUM('Приложение 3'!G292)</f>
        <v>0</v>
      </c>
      <c r="D55" s="107">
        <f>SUM('Приложение 3'!H292)</f>
        <v>4638</v>
      </c>
      <c r="E55" s="107">
        <f>SUM('Приложение 3'!I292)</f>
        <v>1656.1</v>
      </c>
      <c r="F55" s="107">
        <f t="shared" si="3"/>
        <v>35.70720137990513</v>
      </c>
    </row>
    <row r="56" spans="1:6" ht="21" customHeight="1">
      <c r="A56" s="105"/>
      <c r="B56" s="108" t="s">
        <v>168</v>
      </c>
      <c r="C56" s="107">
        <f>C10+C20+C22+C24+C28+C32+C34+C39+C43+C47+C49+C52+C54</f>
        <v>7619.200000000001</v>
      </c>
      <c r="D56" s="107">
        <f>D10+D20+D22+D24+D28+D32+D34+D39+D43+D47+D49+D52+D54</f>
        <v>283282.67497</v>
      </c>
      <c r="E56" s="107">
        <f>E10+E20+E22+E24+E28+E32+E34+E39+E43+E47+E49+E52+E54</f>
        <v>145948.46228000004</v>
      </c>
      <c r="F56" s="107">
        <f t="shared" si="3"/>
        <v>51.52043353708665</v>
      </c>
    </row>
  </sheetData>
  <sheetProtection/>
  <mergeCells count="7">
    <mergeCell ref="A6:F6"/>
    <mergeCell ref="A7:F7"/>
    <mergeCell ref="A2:F2"/>
    <mergeCell ref="A1:F1"/>
    <mergeCell ref="A3:F3"/>
    <mergeCell ref="A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4"/>
  <sheetViews>
    <sheetView showGridLines="0" tabSelected="1" zoomScale="90" zoomScaleNormal="90" zoomScalePageLayoutView="0" workbookViewId="0" topLeftCell="A1">
      <pane ySplit="10" topLeftCell="BM230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5"/>
  <cols>
    <col min="1" max="1" width="51.7109375" style="7" customWidth="1"/>
    <col min="2" max="2" width="7.00390625" style="12" customWidth="1"/>
    <col min="3" max="3" width="6.7109375" style="12" customWidth="1"/>
    <col min="4" max="4" width="5.7109375" style="33" customWidth="1"/>
    <col min="5" max="5" width="5.421875" style="39" customWidth="1"/>
    <col min="6" max="6" width="6.00390625" style="11" customWidth="1"/>
    <col min="7" max="7" width="12.7109375" style="15" hidden="1" customWidth="1"/>
    <col min="8" max="9" width="14.57421875" style="15" customWidth="1"/>
    <col min="10" max="10" width="15.00390625" style="15" customWidth="1"/>
    <col min="11" max="16384" width="9.140625" style="2" customWidth="1"/>
  </cols>
  <sheetData>
    <row r="1" spans="5:10" ht="18.75">
      <c r="E1" s="34"/>
      <c r="F1" s="24"/>
      <c r="G1" s="134" t="s">
        <v>331</v>
      </c>
      <c r="H1" s="134"/>
      <c r="I1" s="134"/>
      <c r="J1" s="134"/>
    </row>
    <row r="2" spans="5:10" ht="18.75">
      <c r="E2" s="34"/>
      <c r="F2" s="134" t="s">
        <v>327</v>
      </c>
      <c r="G2" s="134"/>
      <c r="H2" s="134"/>
      <c r="I2" s="134"/>
      <c r="J2" s="134"/>
    </row>
    <row r="3" spans="5:10" ht="18.75">
      <c r="E3" s="34"/>
      <c r="F3" s="134" t="s">
        <v>332</v>
      </c>
      <c r="G3" s="134"/>
      <c r="H3" s="134"/>
      <c r="I3" s="134"/>
      <c r="J3" s="134"/>
    </row>
    <row r="4" spans="5:10" ht="18.75">
      <c r="E4" s="34"/>
      <c r="F4" s="134" t="s">
        <v>171</v>
      </c>
      <c r="G4" s="134"/>
      <c r="H4" s="134"/>
      <c r="I4" s="134"/>
      <c r="J4" s="134"/>
    </row>
    <row r="5" spans="5:10" ht="18.75" customHeight="1">
      <c r="E5" s="134" t="s">
        <v>333</v>
      </c>
      <c r="F5" s="134"/>
      <c r="G5" s="134"/>
      <c r="H5" s="134"/>
      <c r="I5" s="134"/>
      <c r="J5" s="134"/>
    </row>
    <row r="6" spans="1:10" ht="18.75">
      <c r="A6" s="8"/>
      <c r="B6" s="1"/>
      <c r="C6" s="1"/>
      <c r="D6" s="35"/>
      <c r="E6" s="134"/>
      <c r="F6" s="134"/>
      <c r="G6" s="134"/>
      <c r="H6" s="134"/>
      <c r="I6" s="134"/>
      <c r="J6" s="134"/>
    </row>
    <row r="7" spans="1:10" ht="33.75" customHeight="1">
      <c r="A7" s="135" t="s">
        <v>322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2.75">
      <c r="A8" s="6"/>
      <c r="B8" s="3"/>
      <c r="C8" s="3"/>
      <c r="D8" s="36"/>
      <c r="E8" s="37"/>
      <c r="F8" s="9"/>
      <c r="G8" s="14"/>
      <c r="H8" s="14"/>
      <c r="I8" s="14"/>
      <c r="J8" s="14"/>
    </row>
    <row r="9" spans="1:10" ht="12.75">
      <c r="A9" s="6"/>
      <c r="B9" s="3"/>
      <c r="C9" s="3"/>
      <c r="D9" s="36"/>
      <c r="E9" s="37"/>
      <c r="F9" s="9"/>
      <c r="G9" s="14"/>
      <c r="H9" s="14"/>
      <c r="I9" s="14"/>
      <c r="J9" s="114" t="s">
        <v>192</v>
      </c>
    </row>
    <row r="10" spans="1:10" ht="91.5" customHeight="1">
      <c r="A10" s="32" t="s">
        <v>1</v>
      </c>
      <c r="B10" s="67" t="s">
        <v>232</v>
      </c>
      <c r="C10" s="64" t="s">
        <v>233</v>
      </c>
      <c r="D10" s="68" t="s">
        <v>200</v>
      </c>
      <c r="E10" s="69" t="s">
        <v>9</v>
      </c>
      <c r="F10" s="70" t="s">
        <v>201</v>
      </c>
      <c r="G10" s="71" t="s">
        <v>275</v>
      </c>
      <c r="H10" s="71" t="s">
        <v>276</v>
      </c>
      <c r="I10" s="71" t="s">
        <v>324</v>
      </c>
      <c r="J10" s="71" t="s">
        <v>323</v>
      </c>
    </row>
    <row r="11" spans="1:10" ht="15.75" outlineLevel="1">
      <c r="A11" s="112" t="s">
        <v>32</v>
      </c>
      <c r="B11" s="18" t="s">
        <v>33</v>
      </c>
      <c r="C11" s="18"/>
      <c r="D11" s="18"/>
      <c r="E11" s="54" t="s">
        <v>0</v>
      </c>
      <c r="F11" s="123"/>
      <c r="G11" s="52">
        <f aca="true" t="shared" si="0" ref="G11:I12">SUM(G12)</f>
        <v>0</v>
      </c>
      <c r="H11" s="78">
        <f t="shared" si="0"/>
        <v>380</v>
      </c>
      <c r="I11" s="78">
        <f t="shared" si="0"/>
        <v>180.53788</v>
      </c>
      <c r="J11" s="78">
        <f aca="true" t="shared" si="1" ref="J11:J74">SUM(I11/H11)*100</f>
        <v>47.50996842105263</v>
      </c>
    </row>
    <row r="12" spans="1:10" ht="15.75" outlineLevel="1">
      <c r="A12" s="112" t="s">
        <v>117</v>
      </c>
      <c r="B12" s="18" t="s">
        <v>33</v>
      </c>
      <c r="C12" s="18" t="s">
        <v>48</v>
      </c>
      <c r="D12" s="18"/>
      <c r="E12" s="54"/>
      <c r="F12" s="31"/>
      <c r="G12" s="52">
        <f t="shared" si="0"/>
        <v>0</v>
      </c>
      <c r="H12" s="78">
        <f t="shared" si="0"/>
        <v>380</v>
      </c>
      <c r="I12" s="78">
        <f t="shared" si="0"/>
        <v>180.53788</v>
      </c>
      <c r="J12" s="78">
        <f t="shared" si="1"/>
        <v>47.50996842105263</v>
      </c>
    </row>
    <row r="13" spans="1:10" ht="60.75" customHeight="1" outlineLevel="2">
      <c r="A13" s="112" t="s">
        <v>31</v>
      </c>
      <c r="B13" s="18" t="s">
        <v>33</v>
      </c>
      <c r="C13" s="18" t="s">
        <v>34</v>
      </c>
      <c r="D13" s="18"/>
      <c r="E13" s="54"/>
      <c r="F13" s="123"/>
      <c r="G13" s="52">
        <f>SUM(G14+G17)</f>
        <v>0</v>
      </c>
      <c r="H13" s="78">
        <f>SUM(H14+H17)</f>
        <v>380</v>
      </c>
      <c r="I13" s="78">
        <f>SUM(I14+I17)</f>
        <v>180.53788</v>
      </c>
      <c r="J13" s="78">
        <f t="shared" si="1"/>
        <v>47.50996842105263</v>
      </c>
    </row>
    <row r="14" spans="1:10" ht="45" customHeight="1" outlineLevel="2">
      <c r="A14" s="112" t="s">
        <v>120</v>
      </c>
      <c r="B14" s="18" t="s">
        <v>33</v>
      </c>
      <c r="C14" s="18" t="s">
        <v>34</v>
      </c>
      <c r="D14" s="18" t="s">
        <v>12</v>
      </c>
      <c r="E14" s="54" t="s">
        <v>10</v>
      </c>
      <c r="F14" s="123"/>
      <c r="G14" s="52">
        <f>SUM(G15:G16)</f>
        <v>0</v>
      </c>
      <c r="H14" s="78">
        <f>SUM(H15:H16)</f>
        <v>379.9</v>
      </c>
      <c r="I14" s="78">
        <f>SUM(I15:I16)</f>
        <v>180.53787</v>
      </c>
      <c r="J14" s="78">
        <f t="shared" si="1"/>
        <v>47.52247170307976</v>
      </c>
    </row>
    <row r="15" spans="1:10" ht="76.5" customHeight="1" outlineLevel="2">
      <c r="A15" s="112" t="s">
        <v>118</v>
      </c>
      <c r="B15" s="18" t="s">
        <v>33</v>
      </c>
      <c r="C15" s="18" t="s">
        <v>34</v>
      </c>
      <c r="D15" s="18" t="s">
        <v>12</v>
      </c>
      <c r="E15" s="54" t="s">
        <v>10</v>
      </c>
      <c r="F15" s="31">
        <v>100</v>
      </c>
      <c r="G15" s="52"/>
      <c r="H15" s="78">
        <v>332.4</v>
      </c>
      <c r="I15" s="78">
        <v>180.53787</v>
      </c>
      <c r="J15" s="78">
        <f t="shared" si="1"/>
        <v>54.31343862815885</v>
      </c>
    </row>
    <row r="16" spans="1:10" s="4" customFormat="1" ht="31.5" outlineLevel="3">
      <c r="A16" s="112" t="s">
        <v>119</v>
      </c>
      <c r="B16" s="18" t="s">
        <v>33</v>
      </c>
      <c r="C16" s="18" t="s">
        <v>34</v>
      </c>
      <c r="D16" s="18" t="s">
        <v>12</v>
      </c>
      <c r="E16" s="54">
        <v>0</v>
      </c>
      <c r="F16" s="31">
        <v>200</v>
      </c>
      <c r="G16" s="52"/>
      <c r="H16" s="78">
        <v>47.5</v>
      </c>
      <c r="I16" s="78">
        <v>0</v>
      </c>
      <c r="J16" s="78">
        <f t="shared" si="1"/>
        <v>0</v>
      </c>
    </row>
    <row r="17" spans="1:10" s="4" customFormat="1" ht="47.25" outlineLevel="3">
      <c r="A17" s="112" t="s">
        <v>202</v>
      </c>
      <c r="B17" s="18" t="s">
        <v>33</v>
      </c>
      <c r="C17" s="18" t="s">
        <v>34</v>
      </c>
      <c r="D17" s="18" t="s">
        <v>17</v>
      </c>
      <c r="E17" s="54">
        <v>0</v>
      </c>
      <c r="F17" s="31"/>
      <c r="G17" s="124">
        <f>SUM(G18)</f>
        <v>0</v>
      </c>
      <c r="H17" s="121">
        <f>SUM(H18)</f>
        <v>0.1</v>
      </c>
      <c r="I17" s="121">
        <f>SUM(I18)</f>
        <v>1E-05</v>
      </c>
      <c r="J17" s="78">
        <f t="shared" si="1"/>
        <v>0.01</v>
      </c>
    </row>
    <row r="18" spans="1:10" s="4" customFormat="1" ht="15.75" outlineLevel="3">
      <c r="A18" s="112" t="s">
        <v>175</v>
      </c>
      <c r="B18" s="18" t="s">
        <v>33</v>
      </c>
      <c r="C18" s="18" t="s">
        <v>34</v>
      </c>
      <c r="D18" s="18" t="s">
        <v>17</v>
      </c>
      <c r="E18" s="54">
        <v>0</v>
      </c>
      <c r="F18" s="31">
        <v>800</v>
      </c>
      <c r="G18" s="52"/>
      <c r="H18" s="78">
        <f>0.05+0.05</f>
        <v>0.1</v>
      </c>
      <c r="I18" s="78">
        <v>1E-05</v>
      </c>
      <c r="J18" s="78">
        <f t="shared" si="1"/>
        <v>0.01</v>
      </c>
    </row>
    <row r="19" spans="1:10" s="4" customFormat="1" ht="31.5" outlineLevel="3">
      <c r="A19" s="112" t="s">
        <v>36</v>
      </c>
      <c r="B19" s="18" t="s">
        <v>37</v>
      </c>
      <c r="C19" s="18"/>
      <c r="D19" s="18"/>
      <c r="E19" s="54"/>
      <c r="F19" s="123"/>
      <c r="G19" s="52">
        <f aca="true" t="shared" si="2" ref="G19:I20">SUM(G20)</f>
        <v>0</v>
      </c>
      <c r="H19" s="78">
        <f t="shared" si="2"/>
        <v>1486</v>
      </c>
      <c r="I19" s="78">
        <f t="shared" si="2"/>
        <v>652.31551</v>
      </c>
      <c r="J19" s="78">
        <f t="shared" si="1"/>
        <v>43.89740982503365</v>
      </c>
    </row>
    <row r="20" spans="1:10" s="4" customFormat="1" ht="15.75" outlineLevel="3">
      <c r="A20" s="112" t="s">
        <v>117</v>
      </c>
      <c r="B20" s="18" t="s">
        <v>37</v>
      </c>
      <c r="C20" s="18" t="s">
        <v>48</v>
      </c>
      <c r="D20" s="125"/>
      <c r="E20" s="126"/>
      <c r="F20" s="127"/>
      <c r="G20" s="52">
        <f t="shared" si="2"/>
        <v>0</v>
      </c>
      <c r="H20" s="78">
        <f t="shared" si="2"/>
        <v>1486</v>
      </c>
      <c r="I20" s="78">
        <f t="shared" si="2"/>
        <v>652.31551</v>
      </c>
      <c r="J20" s="78">
        <f t="shared" si="1"/>
        <v>43.89740982503365</v>
      </c>
    </row>
    <row r="21" spans="1:10" s="4" customFormat="1" ht="56.25" customHeight="1" outlineLevel="3">
      <c r="A21" s="112" t="s">
        <v>39</v>
      </c>
      <c r="B21" s="18" t="s">
        <v>37</v>
      </c>
      <c r="C21" s="18" t="s">
        <v>38</v>
      </c>
      <c r="D21" s="18"/>
      <c r="E21" s="54"/>
      <c r="F21" s="123"/>
      <c r="G21" s="52">
        <f>SUM(G22+G25)</f>
        <v>0</v>
      </c>
      <c r="H21" s="78">
        <f>SUM(H22+H25)</f>
        <v>1486</v>
      </c>
      <c r="I21" s="78">
        <f>SUM(I22+I25)</f>
        <v>652.31551</v>
      </c>
      <c r="J21" s="78">
        <f t="shared" si="1"/>
        <v>43.89740982503365</v>
      </c>
    </row>
    <row r="22" spans="1:10" s="4" customFormat="1" ht="51" customHeight="1" outlineLevel="3">
      <c r="A22" s="112" t="s">
        <v>120</v>
      </c>
      <c r="B22" s="18" t="s">
        <v>37</v>
      </c>
      <c r="C22" s="18" t="s">
        <v>38</v>
      </c>
      <c r="D22" s="18" t="s">
        <v>12</v>
      </c>
      <c r="E22" s="54" t="s">
        <v>10</v>
      </c>
      <c r="F22" s="123"/>
      <c r="G22" s="52">
        <f>SUM(G23:G24)</f>
        <v>0</v>
      </c>
      <c r="H22" s="78">
        <f>SUM(H23:H24)</f>
        <v>1485.5</v>
      </c>
      <c r="I22" s="78">
        <f>SUM(I23:I24)</f>
        <v>652.31551</v>
      </c>
      <c r="J22" s="78">
        <f t="shared" si="1"/>
        <v>43.91218512285426</v>
      </c>
    </row>
    <row r="23" spans="1:10" s="4" customFormat="1" ht="78" customHeight="1" outlineLevel="3">
      <c r="A23" s="112" t="s">
        <v>118</v>
      </c>
      <c r="B23" s="18" t="s">
        <v>37</v>
      </c>
      <c r="C23" s="18" t="s">
        <v>38</v>
      </c>
      <c r="D23" s="18" t="s">
        <v>12</v>
      </c>
      <c r="E23" s="54" t="s">
        <v>10</v>
      </c>
      <c r="F23" s="31">
        <v>100</v>
      </c>
      <c r="G23" s="52"/>
      <c r="H23" s="78">
        <f>1460.8+11.45</f>
        <v>1472.25</v>
      </c>
      <c r="I23" s="78">
        <v>652.31551</v>
      </c>
      <c r="J23" s="78">
        <f t="shared" si="1"/>
        <v>44.307387332314484</v>
      </c>
    </row>
    <row r="24" spans="1:10" s="4" customFormat="1" ht="31.5" outlineLevel="3">
      <c r="A24" s="112" t="s">
        <v>119</v>
      </c>
      <c r="B24" s="18" t="s">
        <v>37</v>
      </c>
      <c r="C24" s="18" t="s">
        <v>38</v>
      </c>
      <c r="D24" s="18" t="s">
        <v>12</v>
      </c>
      <c r="E24" s="54">
        <v>0</v>
      </c>
      <c r="F24" s="31">
        <v>200</v>
      </c>
      <c r="G24" s="52"/>
      <c r="H24" s="78">
        <f>24.7-11.45</f>
        <v>13.25</v>
      </c>
      <c r="I24" s="78">
        <v>0</v>
      </c>
      <c r="J24" s="78">
        <f t="shared" si="1"/>
        <v>0</v>
      </c>
    </row>
    <row r="25" spans="1:10" s="4" customFormat="1" ht="47.25" outlineLevel="3">
      <c r="A25" s="112" t="s">
        <v>202</v>
      </c>
      <c r="B25" s="18" t="s">
        <v>37</v>
      </c>
      <c r="C25" s="18" t="s">
        <v>38</v>
      </c>
      <c r="D25" s="18" t="s">
        <v>17</v>
      </c>
      <c r="E25" s="54">
        <v>0</v>
      </c>
      <c r="F25" s="31"/>
      <c r="G25" s="124">
        <f>SUM(G26)</f>
        <v>0</v>
      </c>
      <c r="H25" s="121">
        <f>SUM(H26)</f>
        <v>0.5</v>
      </c>
      <c r="I25" s="121">
        <f>SUM(I26)</f>
        <v>0</v>
      </c>
      <c r="J25" s="78">
        <f t="shared" si="1"/>
        <v>0</v>
      </c>
    </row>
    <row r="26" spans="1:10" s="4" customFormat="1" ht="15.75" outlineLevel="3">
      <c r="A26" s="112" t="s">
        <v>175</v>
      </c>
      <c r="B26" s="18" t="s">
        <v>37</v>
      </c>
      <c r="C26" s="18" t="s">
        <v>38</v>
      </c>
      <c r="D26" s="18" t="s">
        <v>17</v>
      </c>
      <c r="E26" s="54">
        <v>0</v>
      </c>
      <c r="F26" s="31">
        <v>800</v>
      </c>
      <c r="G26" s="52"/>
      <c r="H26" s="78">
        <f>0.5</f>
        <v>0.5</v>
      </c>
      <c r="I26" s="78">
        <v>0</v>
      </c>
      <c r="J26" s="78">
        <f t="shared" si="1"/>
        <v>0</v>
      </c>
    </row>
    <row r="27" spans="1:10" s="4" customFormat="1" ht="31.5" outlineLevel="3">
      <c r="A27" s="112" t="s">
        <v>121</v>
      </c>
      <c r="B27" s="18" t="s">
        <v>46</v>
      </c>
      <c r="C27" s="18"/>
      <c r="D27" s="18"/>
      <c r="E27" s="54"/>
      <c r="F27" s="123"/>
      <c r="G27" s="52">
        <f>SUM(G28+G100+G105+G112+G134+G154+G157+G235+G254+G277+G280+G286+G290)</f>
        <v>7619.200000000001</v>
      </c>
      <c r="H27" s="78">
        <f>SUM(H28+H100+H105+H112+H134+H154+H157+H235+H254+H277+H280+H286+H290)</f>
        <v>281416.67497</v>
      </c>
      <c r="I27" s="78">
        <f>SUM(I28+I100+I105+I112+I134+I154+I157+I235+I254+I277+I280+I286+I290)</f>
        <v>145115.60889000003</v>
      </c>
      <c r="J27" s="78">
        <f t="shared" si="1"/>
        <v>51.56610172637065</v>
      </c>
    </row>
    <row r="28" spans="1:10" s="4" customFormat="1" ht="15.75" outlineLevel="3">
      <c r="A28" s="112" t="s">
        <v>117</v>
      </c>
      <c r="B28" s="18" t="s">
        <v>46</v>
      </c>
      <c r="C28" s="18" t="s">
        <v>48</v>
      </c>
      <c r="D28" s="18"/>
      <c r="E28" s="54"/>
      <c r="F28" s="31"/>
      <c r="G28" s="52">
        <f>SUM(G29+G32+G58+G62+G65+G54)</f>
        <v>1577.227</v>
      </c>
      <c r="H28" s="78">
        <f>SUM(H29+H32+H58+H62+H65+H54)</f>
        <v>68006.12084</v>
      </c>
      <c r="I28" s="78">
        <f>SUM(I29+I32+I58+I62+I65+I54)</f>
        <v>28961.48203</v>
      </c>
      <c r="J28" s="78">
        <f t="shared" si="1"/>
        <v>42.586581431601616</v>
      </c>
    </row>
    <row r="29" spans="1:10" s="4" customFormat="1" ht="47.25" outlineLevel="3">
      <c r="A29" s="112" t="s">
        <v>40</v>
      </c>
      <c r="B29" s="18" t="s">
        <v>46</v>
      </c>
      <c r="C29" s="18" t="s">
        <v>49</v>
      </c>
      <c r="D29" s="18"/>
      <c r="E29" s="54"/>
      <c r="F29" s="123"/>
      <c r="G29" s="52">
        <f>SUM(G31)</f>
        <v>0</v>
      </c>
      <c r="H29" s="78">
        <f>SUM(H31)</f>
        <v>600</v>
      </c>
      <c r="I29" s="78">
        <f>SUM(I31)</f>
        <v>430.75974</v>
      </c>
      <c r="J29" s="78">
        <f t="shared" si="1"/>
        <v>71.79329</v>
      </c>
    </row>
    <row r="30" spans="1:10" s="4" customFormat="1" ht="53.25" customHeight="1" outlineLevel="3">
      <c r="A30" s="112" t="s">
        <v>120</v>
      </c>
      <c r="B30" s="18" t="s">
        <v>46</v>
      </c>
      <c r="C30" s="18" t="s">
        <v>49</v>
      </c>
      <c r="D30" s="18" t="s">
        <v>12</v>
      </c>
      <c r="E30" s="54" t="s">
        <v>10</v>
      </c>
      <c r="F30" s="31"/>
      <c r="G30" s="52">
        <f>SUM(G31)</f>
        <v>0</v>
      </c>
      <c r="H30" s="78">
        <f>SUM(H31)</f>
        <v>600</v>
      </c>
      <c r="I30" s="78">
        <f>SUM(I31)</f>
        <v>430.75974</v>
      </c>
      <c r="J30" s="78">
        <f t="shared" si="1"/>
        <v>71.79329</v>
      </c>
    </row>
    <row r="31" spans="1:10" ht="82.5" customHeight="1" outlineLevel="1">
      <c r="A31" s="112" t="s">
        <v>118</v>
      </c>
      <c r="B31" s="18" t="s">
        <v>46</v>
      </c>
      <c r="C31" s="18" t="s">
        <v>49</v>
      </c>
      <c r="D31" s="18" t="s">
        <v>12</v>
      </c>
      <c r="E31" s="54">
        <v>0</v>
      </c>
      <c r="F31" s="31">
        <v>100</v>
      </c>
      <c r="G31" s="52"/>
      <c r="H31" s="78">
        <v>600</v>
      </c>
      <c r="I31" s="78">
        <v>430.75974</v>
      </c>
      <c r="J31" s="78">
        <f t="shared" si="1"/>
        <v>71.79329</v>
      </c>
    </row>
    <row r="32" spans="1:10" ht="60.75" customHeight="1" outlineLevel="2">
      <c r="A32" s="113" t="s">
        <v>41</v>
      </c>
      <c r="B32" s="18" t="s">
        <v>46</v>
      </c>
      <c r="C32" s="18" t="s">
        <v>47</v>
      </c>
      <c r="D32" s="18"/>
      <c r="E32" s="54"/>
      <c r="F32" s="31"/>
      <c r="G32" s="52">
        <f>SUM(G33+G52)</f>
        <v>0</v>
      </c>
      <c r="H32" s="78">
        <f>SUM(H33+H52)</f>
        <v>29156.7</v>
      </c>
      <c r="I32" s="78">
        <f>SUM(I33+I52)</f>
        <v>13600.74597</v>
      </c>
      <c r="J32" s="78">
        <f t="shared" si="1"/>
        <v>46.64706900986737</v>
      </c>
    </row>
    <row r="33" spans="1:10" s="4" customFormat="1" ht="54.75" customHeight="1" outlineLevel="3">
      <c r="A33" s="112" t="s">
        <v>120</v>
      </c>
      <c r="B33" s="18" t="s">
        <v>46</v>
      </c>
      <c r="C33" s="18" t="s">
        <v>47</v>
      </c>
      <c r="D33" s="18" t="s">
        <v>12</v>
      </c>
      <c r="E33" s="54">
        <v>0</v>
      </c>
      <c r="F33" s="31"/>
      <c r="G33" s="52">
        <f>SUM(G34+G36+G39)</f>
        <v>0</v>
      </c>
      <c r="H33" s="78">
        <f>SUM(H34+H36+H39)</f>
        <v>29106.7</v>
      </c>
      <c r="I33" s="78">
        <f>SUM(I34+I36+I39)</f>
        <v>13595.74597</v>
      </c>
      <c r="J33" s="78">
        <f t="shared" si="1"/>
        <v>46.710021988064604</v>
      </c>
    </row>
    <row r="34" spans="1:10" s="4" customFormat="1" ht="21" customHeight="1" outlineLevel="3">
      <c r="A34" s="112" t="s">
        <v>58</v>
      </c>
      <c r="B34" s="18" t="s">
        <v>46</v>
      </c>
      <c r="C34" s="18" t="s">
        <v>47</v>
      </c>
      <c r="D34" s="18" t="s">
        <v>12</v>
      </c>
      <c r="E34" s="54">
        <v>0</v>
      </c>
      <c r="F34" s="31"/>
      <c r="G34" s="52">
        <f>SUM(G35)</f>
        <v>0</v>
      </c>
      <c r="H34" s="78">
        <f>SUM(H35)</f>
        <v>1367.1</v>
      </c>
      <c r="I34" s="78">
        <f>SUM(I35)</f>
        <v>661.26492</v>
      </c>
      <c r="J34" s="78">
        <f t="shared" si="1"/>
        <v>48.36990125082291</v>
      </c>
    </row>
    <row r="35" spans="1:10" s="4" customFormat="1" ht="86.25" customHeight="1" outlineLevel="3">
      <c r="A35" s="113" t="s">
        <v>118</v>
      </c>
      <c r="B35" s="18" t="s">
        <v>46</v>
      </c>
      <c r="C35" s="18" t="s">
        <v>47</v>
      </c>
      <c r="D35" s="18" t="s">
        <v>12</v>
      </c>
      <c r="E35" s="54">
        <v>0</v>
      </c>
      <c r="F35" s="31">
        <v>100</v>
      </c>
      <c r="G35" s="52"/>
      <c r="H35" s="78">
        <v>1367.1</v>
      </c>
      <c r="I35" s="78">
        <v>661.26492</v>
      </c>
      <c r="J35" s="78">
        <f t="shared" si="1"/>
        <v>48.36990125082291</v>
      </c>
    </row>
    <row r="36" spans="1:10" ht="15.75" outlineLevel="1">
      <c r="A36" s="113" t="s">
        <v>3</v>
      </c>
      <c r="B36" s="18" t="s">
        <v>46</v>
      </c>
      <c r="C36" s="18" t="s">
        <v>47</v>
      </c>
      <c r="D36" s="18" t="s">
        <v>12</v>
      </c>
      <c r="E36" s="54">
        <v>0</v>
      </c>
      <c r="F36" s="31"/>
      <c r="G36" s="52">
        <f>SUM(G37:G38)</f>
        <v>0</v>
      </c>
      <c r="H36" s="78">
        <f>SUM(H37:H38)</f>
        <v>26268.9</v>
      </c>
      <c r="I36" s="78">
        <f>SUM(I37:I38)</f>
        <v>12283.355080000001</v>
      </c>
      <c r="J36" s="78">
        <f t="shared" si="1"/>
        <v>46.76006639029423</v>
      </c>
    </row>
    <row r="37" spans="1:10" ht="80.25" customHeight="1" outlineLevel="2">
      <c r="A37" s="113" t="s">
        <v>118</v>
      </c>
      <c r="B37" s="18" t="s">
        <v>46</v>
      </c>
      <c r="C37" s="18" t="s">
        <v>47</v>
      </c>
      <c r="D37" s="18" t="s">
        <v>12</v>
      </c>
      <c r="E37" s="54">
        <v>0</v>
      </c>
      <c r="F37" s="31">
        <v>100</v>
      </c>
      <c r="G37" s="52"/>
      <c r="H37" s="78">
        <f>24310+418</f>
        <v>24728</v>
      </c>
      <c r="I37" s="78">
        <v>11904.00508</v>
      </c>
      <c r="J37" s="78">
        <f t="shared" si="1"/>
        <v>48.13978113879004</v>
      </c>
    </row>
    <row r="38" spans="1:10" ht="31.5">
      <c r="A38" s="113" t="s">
        <v>119</v>
      </c>
      <c r="B38" s="18" t="s">
        <v>46</v>
      </c>
      <c r="C38" s="18" t="s">
        <v>47</v>
      </c>
      <c r="D38" s="18" t="s">
        <v>12</v>
      </c>
      <c r="E38" s="54">
        <v>0</v>
      </c>
      <c r="F38" s="31">
        <v>200</v>
      </c>
      <c r="G38" s="52"/>
      <c r="H38" s="78">
        <v>1540.9</v>
      </c>
      <c r="I38" s="78">
        <v>379.35</v>
      </c>
      <c r="J38" s="78">
        <f t="shared" si="1"/>
        <v>24.618729314037253</v>
      </c>
    </row>
    <row r="39" spans="1:10" ht="50.25" customHeight="1" outlineLevel="2">
      <c r="A39" s="112" t="s">
        <v>120</v>
      </c>
      <c r="B39" s="18" t="s">
        <v>46</v>
      </c>
      <c r="C39" s="18" t="s">
        <v>47</v>
      </c>
      <c r="D39" s="18" t="s">
        <v>12</v>
      </c>
      <c r="E39" s="54" t="s">
        <v>10</v>
      </c>
      <c r="F39" s="123"/>
      <c r="G39" s="128">
        <f>SUM(G40+G43+G46+G49)</f>
        <v>0</v>
      </c>
      <c r="H39" s="131">
        <f>SUM(H40+H43+H46+H49)</f>
        <v>1470.6999999999998</v>
      </c>
      <c r="I39" s="131">
        <f>SUM(I40+I43+I46+I49)</f>
        <v>651.12597</v>
      </c>
      <c r="J39" s="78">
        <f t="shared" si="1"/>
        <v>44.27320119670906</v>
      </c>
    </row>
    <row r="40" spans="1:10" ht="48.75" customHeight="1" outlineLevel="1">
      <c r="A40" s="112" t="s">
        <v>123</v>
      </c>
      <c r="B40" s="18" t="s">
        <v>46</v>
      </c>
      <c r="C40" s="18" t="s">
        <v>47</v>
      </c>
      <c r="D40" s="18" t="s">
        <v>12</v>
      </c>
      <c r="E40" s="54" t="s">
        <v>10</v>
      </c>
      <c r="F40" s="123"/>
      <c r="G40" s="52">
        <f>SUM(G41:G42)</f>
        <v>0</v>
      </c>
      <c r="H40" s="78">
        <f>SUM(H41:H42)</f>
        <v>298.1</v>
      </c>
      <c r="I40" s="78">
        <f>SUM(I41:I42)</f>
        <v>141.46235</v>
      </c>
      <c r="J40" s="78">
        <f t="shared" si="1"/>
        <v>47.45466286481046</v>
      </c>
    </row>
    <row r="41" spans="1:10" ht="81.75" customHeight="1" outlineLevel="5">
      <c r="A41" s="112" t="s">
        <v>118</v>
      </c>
      <c r="B41" s="18" t="s">
        <v>46</v>
      </c>
      <c r="C41" s="18" t="s">
        <v>47</v>
      </c>
      <c r="D41" s="18" t="s">
        <v>12</v>
      </c>
      <c r="E41" s="54" t="s">
        <v>10</v>
      </c>
      <c r="F41" s="31">
        <v>100</v>
      </c>
      <c r="G41" s="128"/>
      <c r="H41" s="131">
        <f>216.3+63.2</f>
        <v>279.5</v>
      </c>
      <c r="I41" s="131">
        <v>141.46235</v>
      </c>
      <c r="J41" s="78">
        <f t="shared" si="1"/>
        <v>50.61264758497316</v>
      </c>
    </row>
    <row r="42" spans="1:10" ht="31.5" outlineLevel="5">
      <c r="A42" s="112" t="s">
        <v>119</v>
      </c>
      <c r="B42" s="18" t="s">
        <v>46</v>
      </c>
      <c r="C42" s="18" t="s">
        <v>47</v>
      </c>
      <c r="D42" s="18" t="s">
        <v>12</v>
      </c>
      <c r="E42" s="54" t="s">
        <v>10</v>
      </c>
      <c r="F42" s="31">
        <v>200</v>
      </c>
      <c r="G42" s="128"/>
      <c r="H42" s="131">
        <f>81.8-63.2</f>
        <v>18.599999999999994</v>
      </c>
      <c r="I42" s="131">
        <v>0</v>
      </c>
      <c r="J42" s="78">
        <f t="shared" si="1"/>
        <v>0</v>
      </c>
    </row>
    <row r="43" spans="1:10" ht="33" customHeight="1" outlineLevel="5">
      <c r="A43" s="112" t="s">
        <v>124</v>
      </c>
      <c r="B43" s="18" t="s">
        <v>46</v>
      </c>
      <c r="C43" s="18" t="s">
        <v>47</v>
      </c>
      <c r="D43" s="18" t="s">
        <v>12</v>
      </c>
      <c r="E43" s="54" t="s">
        <v>10</v>
      </c>
      <c r="F43" s="123"/>
      <c r="G43" s="52">
        <f>SUM(G44:G45)</f>
        <v>0</v>
      </c>
      <c r="H43" s="78">
        <f>SUM(H44:H45)</f>
        <v>511</v>
      </c>
      <c r="I43" s="78">
        <f>SUM(I44:I45)</f>
        <v>309.14868</v>
      </c>
      <c r="J43" s="78">
        <f t="shared" si="1"/>
        <v>60.498763209393346</v>
      </c>
    </row>
    <row r="44" spans="1:10" ht="76.5" customHeight="1" outlineLevel="2">
      <c r="A44" s="112" t="s">
        <v>118</v>
      </c>
      <c r="B44" s="18" t="s">
        <v>46</v>
      </c>
      <c r="C44" s="18" t="s">
        <v>47</v>
      </c>
      <c r="D44" s="18" t="s">
        <v>12</v>
      </c>
      <c r="E44" s="54" t="s">
        <v>10</v>
      </c>
      <c r="F44" s="31">
        <v>100</v>
      </c>
      <c r="G44" s="52"/>
      <c r="H44" s="78">
        <v>461</v>
      </c>
      <c r="I44" s="78">
        <v>293.29724</v>
      </c>
      <c r="J44" s="78">
        <f t="shared" si="1"/>
        <v>63.621960954446855</v>
      </c>
    </row>
    <row r="45" spans="1:10" ht="31.5" outlineLevel="4">
      <c r="A45" s="112" t="s">
        <v>119</v>
      </c>
      <c r="B45" s="18" t="s">
        <v>46</v>
      </c>
      <c r="C45" s="18" t="s">
        <v>47</v>
      </c>
      <c r="D45" s="18" t="s">
        <v>12</v>
      </c>
      <c r="E45" s="54" t="s">
        <v>10</v>
      </c>
      <c r="F45" s="31">
        <v>200</v>
      </c>
      <c r="G45" s="52"/>
      <c r="H45" s="78">
        <v>50</v>
      </c>
      <c r="I45" s="78">
        <v>15.85144</v>
      </c>
      <c r="J45" s="78">
        <f t="shared" si="1"/>
        <v>31.70288</v>
      </c>
    </row>
    <row r="46" spans="1:10" s="17" customFormat="1" ht="63" customHeight="1" outlineLevel="5">
      <c r="A46" s="112" t="s">
        <v>122</v>
      </c>
      <c r="B46" s="18" t="s">
        <v>46</v>
      </c>
      <c r="C46" s="18" t="s">
        <v>47</v>
      </c>
      <c r="D46" s="18" t="s">
        <v>12</v>
      </c>
      <c r="E46" s="54" t="s">
        <v>10</v>
      </c>
      <c r="F46" s="123"/>
      <c r="G46" s="52">
        <f>SUM(G47:G48)</f>
        <v>0</v>
      </c>
      <c r="H46" s="78">
        <f>SUM(H47:H48)</f>
        <v>237</v>
      </c>
      <c r="I46" s="78">
        <f>SUM(I47:I48)</f>
        <v>118.58204</v>
      </c>
      <c r="J46" s="78">
        <f t="shared" si="1"/>
        <v>50.03461603375528</v>
      </c>
    </row>
    <row r="47" spans="1:10" ht="78.75" customHeight="1" outlineLevel="5">
      <c r="A47" s="112" t="s">
        <v>118</v>
      </c>
      <c r="B47" s="18" t="s">
        <v>46</v>
      </c>
      <c r="C47" s="18" t="s">
        <v>47</v>
      </c>
      <c r="D47" s="18" t="s">
        <v>12</v>
      </c>
      <c r="E47" s="54" t="s">
        <v>10</v>
      </c>
      <c r="F47" s="31">
        <v>100</v>
      </c>
      <c r="G47" s="128"/>
      <c r="H47" s="131">
        <v>220</v>
      </c>
      <c r="I47" s="131">
        <v>116.88204</v>
      </c>
      <c r="J47" s="78">
        <f t="shared" si="1"/>
        <v>53.12820000000001</v>
      </c>
    </row>
    <row r="48" spans="1:10" ht="31.5" outlineLevel="4">
      <c r="A48" s="112" t="s">
        <v>119</v>
      </c>
      <c r="B48" s="18" t="s">
        <v>46</v>
      </c>
      <c r="C48" s="18" t="s">
        <v>47</v>
      </c>
      <c r="D48" s="18" t="s">
        <v>12</v>
      </c>
      <c r="E48" s="54" t="s">
        <v>10</v>
      </c>
      <c r="F48" s="31">
        <v>200</v>
      </c>
      <c r="G48" s="128"/>
      <c r="H48" s="131">
        <v>17</v>
      </c>
      <c r="I48" s="131">
        <v>1.7</v>
      </c>
      <c r="J48" s="78">
        <f t="shared" si="1"/>
        <v>10</v>
      </c>
    </row>
    <row r="49" spans="1:10" ht="64.5" customHeight="1" outlineLevel="5">
      <c r="A49" s="112" t="s">
        <v>125</v>
      </c>
      <c r="B49" s="18" t="s">
        <v>46</v>
      </c>
      <c r="C49" s="18" t="s">
        <v>47</v>
      </c>
      <c r="D49" s="18" t="s">
        <v>12</v>
      </c>
      <c r="E49" s="54" t="s">
        <v>10</v>
      </c>
      <c r="F49" s="123"/>
      <c r="G49" s="52">
        <f>SUM(G50:G51)</f>
        <v>0</v>
      </c>
      <c r="H49" s="78">
        <f>SUM(H50:H51)</f>
        <v>424.6</v>
      </c>
      <c r="I49" s="78">
        <f>SUM(I50:I51)</f>
        <v>81.9329</v>
      </c>
      <c r="J49" s="78">
        <f t="shared" si="1"/>
        <v>19.2964908148846</v>
      </c>
    </row>
    <row r="50" spans="1:10" ht="81.75" customHeight="1" outlineLevel="5">
      <c r="A50" s="112" t="s">
        <v>118</v>
      </c>
      <c r="B50" s="18" t="s">
        <v>46</v>
      </c>
      <c r="C50" s="18" t="s">
        <v>47</v>
      </c>
      <c r="D50" s="18" t="s">
        <v>12</v>
      </c>
      <c r="E50" s="54" t="s">
        <v>10</v>
      </c>
      <c r="F50" s="31">
        <v>100</v>
      </c>
      <c r="G50" s="52"/>
      <c r="H50" s="78">
        <f>325.2-325.2</f>
        <v>0</v>
      </c>
      <c r="I50" s="78">
        <v>0</v>
      </c>
      <c r="J50" s="78">
        <v>0</v>
      </c>
    </row>
    <row r="51" spans="1:10" ht="31.5" outlineLevel="5">
      <c r="A51" s="112" t="s">
        <v>119</v>
      </c>
      <c r="B51" s="18" t="s">
        <v>46</v>
      </c>
      <c r="C51" s="18" t="s">
        <v>47</v>
      </c>
      <c r="D51" s="18" t="s">
        <v>12</v>
      </c>
      <c r="E51" s="54" t="s">
        <v>10</v>
      </c>
      <c r="F51" s="31">
        <v>200</v>
      </c>
      <c r="G51" s="52"/>
      <c r="H51" s="78">
        <f>99.4+325.2</f>
        <v>424.6</v>
      </c>
      <c r="I51" s="78">
        <v>81.9329</v>
      </c>
      <c r="J51" s="78">
        <f t="shared" si="1"/>
        <v>19.2964908148846</v>
      </c>
    </row>
    <row r="52" spans="1:10" ht="63" outlineLevel="2">
      <c r="A52" s="112" t="s">
        <v>282</v>
      </c>
      <c r="B52" s="18" t="s">
        <v>46</v>
      </c>
      <c r="C52" s="18" t="s">
        <v>47</v>
      </c>
      <c r="D52" s="18" t="s">
        <v>2</v>
      </c>
      <c r="E52" s="54">
        <v>0</v>
      </c>
      <c r="F52" s="31"/>
      <c r="G52" s="52">
        <f>SUM(G53)</f>
        <v>0</v>
      </c>
      <c r="H52" s="78">
        <f>SUM(H53)</f>
        <v>50</v>
      </c>
      <c r="I52" s="78">
        <f>SUM(I53)</f>
        <v>5</v>
      </c>
      <c r="J52" s="78">
        <f t="shared" si="1"/>
        <v>10</v>
      </c>
    </row>
    <row r="53" spans="1:10" ht="31.5" outlineLevel="2">
      <c r="A53" s="112" t="s">
        <v>119</v>
      </c>
      <c r="B53" s="18" t="s">
        <v>46</v>
      </c>
      <c r="C53" s="18" t="s">
        <v>47</v>
      </c>
      <c r="D53" s="18" t="s">
        <v>2</v>
      </c>
      <c r="E53" s="54">
        <v>0</v>
      </c>
      <c r="F53" s="31">
        <v>200</v>
      </c>
      <c r="G53" s="52"/>
      <c r="H53" s="78">
        <v>50</v>
      </c>
      <c r="I53" s="78">
        <v>5</v>
      </c>
      <c r="J53" s="78">
        <f t="shared" si="1"/>
        <v>10</v>
      </c>
    </row>
    <row r="54" spans="1:10" ht="15.75" outlineLevel="2">
      <c r="A54" s="112" t="s">
        <v>42</v>
      </c>
      <c r="B54" s="18" t="s">
        <v>46</v>
      </c>
      <c r="C54" s="18" t="s">
        <v>50</v>
      </c>
      <c r="D54" s="18"/>
      <c r="E54" s="54"/>
      <c r="F54" s="31"/>
      <c r="G54" s="52">
        <f aca="true" t="shared" si="3" ref="G54:I56">SUM(G55)</f>
        <v>0</v>
      </c>
      <c r="H54" s="78">
        <f t="shared" si="3"/>
        <v>20.1</v>
      </c>
      <c r="I54" s="78">
        <f t="shared" si="3"/>
        <v>0</v>
      </c>
      <c r="J54" s="78">
        <f t="shared" si="1"/>
        <v>0</v>
      </c>
    </row>
    <row r="55" spans="1:10" ht="48.75" customHeight="1" outlineLevel="2">
      <c r="A55" s="112" t="s">
        <v>288</v>
      </c>
      <c r="B55" s="18" t="s">
        <v>46</v>
      </c>
      <c r="C55" s="18" t="s">
        <v>50</v>
      </c>
      <c r="D55" s="18" t="s">
        <v>17</v>
      </c>
      <c r="E55" s="54">
        <v>0</v>
      </c>
      <c r="F55" s="31"/>
      <c r="G55" s="52">
        <f t="shared" si="3"/>
        <v>0</v>
      </c>
      <c r="H55" s="78">
        <f t="shared" si="3"/>
        <v>20.1</v>
      </c>
      <c r="I55" s="78">
        <f t="shared" si="3"/>
        <v>0</v>
      </c>
      <c r="J55" s="78">
        <f t="shared" si="1"/>
        <v>0</v>
      </c>
    </row>
    <row r="56" spans="1:10" ht="47.25" outlineLevel="2">
      <c r="A56" s="112" t="s">
        <v>202</v>
      </c>
      <c r="B56" s="18" t="s">
        <v>46</v>
      </c>
      <c r="C56" s="18" t="s">
        <v>50</v>
      </c>
      <c r="D56" s="18" t="s">
        <v>17</v>
      </c>
      <c r="E56" s="54">
        <v>0</v>
      </c>
      <c r="F56" s="31"/>
      <c r="G56" s="52">
        <f t="shared" si="3"/>
        <v>0</v>
      </c>
      <c r="H56" s="78">
        <f t="shared" si="3"/>
        <v>20.1</v>
      </c>
      <c r="I56" s="78">
        <f t="shared" si="3"/>
        <v>0</v>
      </c>
      <c r="J56" s="78">
        <f t="shared" si="1"/>
        <v>0</v>
      </c>
    </row>
    <row r="57" spans="1:10" ht="31.5" outlineLevel="2">
      <c r="A57" s="112" t="s">
        <v>119</v>
      </c>
      <c r="B57" s="18" t="s">
        <v>46</v>
      </c>
      <c r="C57" s="18" t="s">
        <v>50</v>
      </c>
      <c r="D57" s="18" t="s">
        <v>17</v>
      </c>
      <c r="E57" s="54">
        <v>0</v>
      </c>
      <c r="F57" s="31">
        <v>200</v>
      </c>
      <c r="G57" s="52"/>
      <c r="H57" s="78">
        <v>20.1</v>
      </c>
      <c r="I57" s="78">
        <v>0</v>
      </c>
      <c r="J57" s="78">
        <f t="shared" si="1"/>
        <v>0</v>
      </c>
    </row>
    <row r="58" spans="1:10" ht="31.5" outlineLevel="2">
      <c r="A58" s="112" t="s">
        <v>43</v>
      </c>
      <c r="B58" s="18" t="s">
        <v>46</v>
      </c>
      <c r="C58" s="18" t="s">
        <v>51</v>
      </c>
      <c r="D58" s="18"/>
      <c r="E58" s="54"/>
      <c r="F58" s="31"/>
      <c r="G58" s="52">
        <f aca="true" t="shared" si="4" ref="G58:I59">SUM(G59)</f>
        <v>0</v>
      </c>
      <c r="H58" s="78">
        <f t="shared" si="4"/>
        <v>0</v>
      </c>
      <c r="I58" s="78">
        <f t="shared" si="4"/>
        <v>0</v>
      </c>
      <c r="J58" s="78">
        <v>0</v>
      </c>
    </row>
    <row r="59" spans="1:10" ht="15.75" outlineLevel="5">
      <c r="A59" s="112" t="s">
        <v>44</v>
      </c>
      <c r="B59" s="18" t="s">
        <v>46</v>
      </c>
      <c r="C59" s="18" t="s">
        <v>51</v>
      </c>
      <c r="D59" s="18" t="s">
        <v>17</v>
      </c>
      <c r="E59" s="54" t="s">
        <v>10</v>
      </c>
      <c r="F59" s="31"/>
      <c r="G59" s="52">
        <f t="shared" si="4"/>
        <v>0</v>
      </c>
      <c r="H59" s="78">
        <f t="shared" si="4"/>
        <v>0</v>
      </c>
      <c r="I59" s="78">
        <f t="shared" si="4"/>
        <v>0</v>
      </c>
      <c r="J59" s="78">
        <v>0</v>
      </c>
    </row>
    <row r="60" spans="1:10" ht="47.25" outlineLevel="2">
      <c r="A60" s="112" t="s">
        <v>202</v>
      </c>
      <c r="B60" s="18" t="s">
        <v>46</v>
      </c>
      <c r="C60" s="18" t="s">
        <v>51</v>
      </c>
      <c r="D60" s="18" t="s">
        <v>17</v>
      </c>
      <c r="E60" s="54" t="s">
        <v>10</v>
      </c>
      <c r="F60" s="31"/>
      <c r="G60" s="52">
        <f aca="true" t="shared" si="5" ref="G60:I63">SUM(G61)</f>
        <v>0</v>
      </c>
      <c r="H60" s="78">
        <f t="shared" si="5"/>
        <v>0</v>
      </c>
      <c r="I60" s="78">
        <f t="shared" si="5"/>
        <v>0</v>
      </c>
      <c r="J60" s="78">
        <v>0</v>
      </c>
    </row>
    <row r="61" spans="1:10" ht="31.5" outlineLevel="5">
      <c r="A61" s="112" t="s">
        <v>119</v>
      </c>
      <c r="B61" s="18" t="s">
        <v>46</v>
      </c>
      <c r="C61" s="18" t="s">
        <v>51</v>
      </c>
      <c r="D61" s="18" t="s">
        <v>17</v>
      </c>
      <c r="E61" s="54">
        <v>0</v>
      </c>
      <c r="F61" s="31">
        <v>200</v>
      </c>
      <c r="G61" s="52"/>
      <c r="H61" s="78">
        <v>0</v>
      </c>
      <c r="I61" s="78">
        <v>0</v>
      </c>
      <c r="J61" s="78">
        <v>0</v>
      </c>
    </row>
    <row r="62" spans="1:10" ht="15.75" outlineLevel="1">
      <c r="A62" s="112" t="s">
        <v>45</v>
      </c>
      <c r="B62" s="18" t="s">
        <v>46</v>
      </c>
      <c r="C62" s="18" t="s">
        <v>52</v>
      </c>
      <c r="D62" s="18"/>
      <c r="E62" s="54"/>
      <c r="F62" s="31"/>
      <c r="G62" s="52">
        <f t="shared" si="5"/>
        <v>0</v>
      </c>
      <c r="H62" s="78">
        <f t="shared" si="5"/>
        <v>320</v>
      </c>
      <c r="I62" s="78">
        <f t="shared" si="5"/>
        <v>0</v>
      </c>
      <c r="J62" s="78">
        <f t="shared" si="1"/>
        <v>0</v>
      </c>
    </row>
    <row r="63" spans="1:10" ht="47.25" outlineLevel="2">
      <c r="A63" s="112" t="s">
        <v>202</v>
      </c>
      <c r="B63" s="18" t="s">
        <v>46</v>
      </c>
      <c r="C63" s="18" t="s">
        <v>52</v>
      </c>
      <c r="D63" s="18" t="s">
        <v>17</v>
      </c>
      <c r="E63" s="54" t="s">
        <v>10</v>
      </c>
      <c r="F63" s="31"/>
      <c r="G63" s="52">
        <f t="shared" si="5"/>
        <v>0</v>
      </c>
      <c r="H63" s="78">
        <f t="shared" si="5"/>
        <v>320</v>
      </c>
      <c r="I63" s="78">
        <f t="shared" si="5"/>
        <v>0</v>
      </c>
      <c r="J63" s="78">
        <f t="shared" si="1"/>
        <v>0</v>
      </c>
    </row>
    <row r="64" spans="1:10" ht="15.75" outlineLevel="2">
      <c r="A64" s="112" t="s">
        <v>175</v>
      </c>
      <c r="B64" s="18" t="s">
        <v>46</v>
      </c>
      <c r="C64" s="18" t="s">
        <v>52</v>
      </c>
      <c r="D64" s="18" t="s">
        <v>17</v>
      </c>
      <c r="E64" s="54" t="s">
        <v>10</v>
      </c>
      <c r="F64" s="31">
        <v>800</v>
      </c>
      <c r="G64" s="52"/>
      <c r="H64" s="78">
        <v>320</v>
      </c>
      <c r="I64" s="78">
        <v>0</v>
      </c>
      <c r="J64" s="78">
        <f t="shared" si="1"/>
        <v>0</v>
      </c>
    </row>
    <row r="65" spans="1:10" ht="15.75" outlineLevel="2">
      <c r="A65" s="112" t="s">
        <v>53</v>
      </c>
      <c r="B65" s="18" t="s">
        <v>46</v>
      </c>
      <c r="C65" s="18" t="s">
        <v>35</v>
      </c>
      <c r="D65" s="18"/>
      <c r="E65" s="54"/>
      <c r="F65" s="31"/>
      <c r="G65" s="52">
        <f>SUM(G66+G69+G75+G77+G81+G83+G85+G89+G92+G99+G79+G73+G96)</f>
        <v>1577.227</v>
      </c>
      <c r="H65" s="78">
        <f>SUM(H66+H69+H75+H77+H81+H83+H85+H89+H92+H99+H79+H73+H96)</f>
        <v>37909.32084</v>
      </c>
      <c r="I65" s="78">
        <f>SUM(I66+I69+I75+I77+I81+I83+I85+I89+I92+I99+I79+I73+I96)</f>
        <v>14929.976320000002</v>
      </c>
      <c r="J65" s="78">
        <f t="shared" si="1"/>
        <v>39.38339170731501</v>
      </c>
    </row>
    <row r="66" spans="1:10" ht="62.25" customHeight="1" outlineLevel="2">
      <c r="A66" s="112" t="s">
        <v>283</v>
      </c>
      <c r="B66" s="18" t="s">
        <v>46</v>
      </c>
      <c r="C66" s="18" t="s">
        <v>35</v>
      </c>
      <c r="D66" s="18" t="s">
        <v>6</v>
      </c>
      <c r="E66" s="54">
        <v>0</v>
      </c>
      <c r="F66" s="31"/>
      <c r="G66" s="52">
        <f aca="true" t="shared" si="6" ref="G66:I67">SUM(G67)</f>
        <v>0</v>
      </c>
      <c r="H66" s="78">
        <f t="shared" si="6"/>
        <v>300</v>
      </c>
      <c r="I66" s="78">
        <f t="shared" si="6"/>
        <v>52.14</v>
      </c>
      <c r="J66" s="78">
        <f t="shared" si="1"/>
        <v>17.380000000000003</v>
      </c>
    </row>
    <row r="67" spans="1:10" ht="47.25" outlineLevel="2">
      <c r="A67" s="112" t="s">
        <v>254</v>
      </c>
      <c r="B67" s="18" t="s">
        <v>46</v>
      </c>
      <c r="C67" s="18" t="s">
        <v>35</v>
      </c>
      <c r="D67" s="18" t="s">
        <v>6</v>
      </c>
      <c r="E67" s="54">
        <v>4</v>
      </c>
      <c r="F67" s="31"/>
      <c r="G67" s="52">
        <f t="shared" si="6"/>
        <v>0</v>
      </c>
      <c r="H67" s="78">
        <f t="shared" si="6"/>
        <v>300</v>
      </c>
      <c r="I67" s="78">
        <f t="shared" si="6"/>
        <v>52.14</v>
      </c>
      <c r="J67" s="78">
        <f t="shared" si="1"/>
        <v>17.380000000000003</v>
      </c>
    </row>
    <row r="68" spans="1:10" ht="37.5" customHeight="1" outlineLevel="2">
      <c r="A68" s="112" t="s">
        <v>203</v>
      </c>
      <c r="B68" s="18" t="s">
        <v>46</v>
      </c>
      <c r="C68" s="18" t="s">
        <v>35</v>
      </c>
      <c r="D68" s="18" t="s">
        <v>6</v>
      </c>
      <c r="E68" s="54">
        <v>4</v>
      </c>
      <c r="F68" s="31">
        <v>600</v>
      </c>
      <c r="G68" s="52"/>
      <c r="H68" s="78">
        <v>300</v>
      </c>
      <c r="I68" s="78">
        <v>52.14</v>
      </c>
      <c r="J68" s="78">
        <f t="shared" si="1"/>
        <v>17.380000000000003</v>
      </c>
    </row>
    <row r="69" spans="1:10" ht="65.25" customHeight="1" outlineLevel="2">
      <c r="A69" s="112" t="s">
        <v>284</v>
      </c>
      <c r="B69" s="18" t="s">
        <v>46</v>
      </c>
      <c r="C69" s="18" t="s">
        <v>35</v>
      </c>
      <c r="D69" s="18" t="s">
        <v>13</v>
      </c>
      <c r="E69" s="54">
        <v>0</v>
      </c>
      <c r="F69" s="31"/>
      <c r="G69" s="52">
        <f>SUM(G70:G72)</f>
        <v>3487.3</v>
      </c>
      <c r="H69" s="78">
        <f>SUM(H70:H72)</f>
        <v>3507.3</v>
      </c>
      <c r="I69" s="78">
        <f>SUM(I70:I72)</f>
        <v>0</v>
      </c>
      <c r="J69" s="78">
        <f t="shared" si="1"/>
        <v>0</v>
      </c>
    </row>
    <row r="70" spans="1:10" ht="31.5" outlineLevel="2">
      <c r="A70" s="112" t="s">
        <v>119</v>
      </c>
      <c r="B70" s="18" t="s">
        <v>46</v>
      </c>
      <c r="C70" s="18" t="s">
        <v>35</v>
      </c>
      <c r="D70" s="18" t="s">
        <v>13</v>
      </c>
      <c r="E70" s="54">
        <v>0</v>
      </c>
      <c r="F70" s="31">
        <v>200</v>
      </c>
      <c r="G70" s="52"/>
      <c r="H70" s="78">
        <v>0</v>
      </c>
      <c r="I70" s="78">
        <v>0</v>
      </c>
      <c r="J70" s="78">
        <v>0</v>
      </c>
    </row>
    <row r="71" spans="1:10" ht="29.25" customHeight="1" outlineLevel="2">
      <c r="A71" s="112" t="s">
        <v>203</v>
      </c>
      <c r="B71" s="18" t="s">
        <v>46</v>
      </c>
      <c r="C71" s="18" t="s">
        <v>35</v>
      </c>
      <c r="D71" s="18" t="s">
        <v>13</v>
      </c>
      <c r="E71" s="54">
        <v>0</v>
      </c>
      <c r="F71" s="31">
        <v>600</v>
      </c>
      <c r="G71" s="52"/>
      <c r="H71" s="78">
        <v>20</v>
      </c>
      <c r="I71" s="78">
        <v>0</v>
      </c>
      <c r="J71" s="78">
        <f t="shared" si="1"/>
        <v>0</v>
      </c>
    </row>
    <row r="72" spans="1:10" ht="32.25" customHeight="1" outlineLevel="2">
      <c r="A72" s="112" t="s">
        <v>317</v>
      </c>
      <c r="B72" s="18" t="s">
        <v>46</v>
      </c>
      <c r="C72" s="18" t="s">
        <v>35</v>
      </c>
      <c r="D72" s="18" t="s">
        <v>13</v>
      </c>
      <c r="E72" s="54">
        <v>0</v>
      </c>
      <c r="F72" s="31">
        <v>600</v>
      </c>
      <c r="G72" s="52">
        <v>3487.3</v>
      </c>
      <c r="H72" s="78">
        <v>3487.3</v>
      </c>
      <c r="I72" s="78">
        <v>0</v>
      </c>
      <c r="J72" s="78">
        <f t="shared" si="1"/>
        <v>0</v>
      </c>
    </row>
    <row r="73" spans="1:10" ht="31.5" outlineLevel="2">
      <c r="A73" s="112" t="s">
        <v>292</v>
      </c>
      <c r="B73" s="18" t="s">
        <v>46</v>
      </c>
      <c r="C73" s="18" t="s">
        <v>35</v>
      </c>
      <c r="D73" s="18" t="s">
        <v>11</v>
      </c>
      <c r="E73" s="54">
        <v>0</v>
      </c>
      <c r="F73" s="31"/>
      <c r="G73" s="52">
        <f>SUM(G74)</f>
        <v>0</v>
      </c>
      <c r="H73" s="78">
        <f>SUM(H74)</f>
        <v>50</v>
      </c>
      <c r="I73" s="78">
        <f>SUM(I74)</f>
        <v>47.44</v>
      </c>
      <c r="J73" s="78">
        <f t="shared" si="1"/>
        <v>94.88</v>
      </c>
    </row>
    <row r="74" spans="1:10" ht="31.5" outlineLevel="2">
      <c r="A74" s="112" t="s">
        <v>119</v>
      </c>
      <c r="B74" s="18" t="s">
        <v>46</v>
      </c>
      <c r="C74" s="18" t="s">
        <v>35</v>
      </c>
      <c r="D74" s="18" t="s">
        <v>11</v>
      </c>
      <c r="E74" s="54">
        <v>0</v>
      </c>
      <c r="F74" s="31">
        <v>200</v>
      </c>
      <c r="G74" s="52"/>
      <c r="H74" s="78">
        <v>50</v>
      </c>
      <c r="I74" s="78">
        <v>47.44</v>
      </c>
      <c r="J74" s="78">
        <f t="shared" si="1"/>
        <v>94.88</v>
      </c>
    </row>
    <row r="75" spans="1:10" ht="68.25" customHeight="1" outlineLevel="2">
      <c r="A75" s="112" t="s">
        <v>281</v>
      </c>
      <c r="B75" s="18" t="s">
        <v>46</v>
      </c>
      <c r="C75" s="18" t="s">
        <v>35</v>
      </c>
      <c r="D75" s="18" t="s">
        <v>185</v>
      </c>
      <c r="E75" s="54">
        <v>0</v>
      </c>
      <c r="F75" s="31"/>
      <c r="G75" s="52">
        <f>SUM(G76)</f>
        <v>0</v>
      </c>
      <c r="H75" s="78">
        <f>SUM(H76)</f>
        <v>100</v>
      </c>
      <c r="I75" s="78">
        <f>SUM(I76)</f>
        <v>0</v>
      </c>
      <c r="J75" s="78">
        <f aca="true" t="shared" si="7" ref="J75:J134">SUM(I75/H75)*100</f>
        <v>0</v>
      </c>
    </row>
    <row r="76" spans="1:10" ht="31.5" outlineLevel="2">
      <c r="A76" s="112" t="s">
        <v>119</v>
      </c>
      <c r="B76" s="18" t="s">
        <v>46</v>
      </c>
      <c r="C76" s="18" t="s">
        <v>35</v>
      </c>
      <c r="D76" s="18" t="s">
        <v>185</v>
      </c>
      <c r="E76" s="54">
        <v>0</v>
      </c>
      <c r="F76" s="31">
        <v>200</v>
      </c>
      <c r="G76" s="52"/>
      <c r="H76" s="78">
        <v>100</v>
      </c>
      <c r="I76" s="78">
        <v>0</v>
      </c>
      <c r="J76" s="78">
        <f t="shared" si="7"/>
        <v>0</v>
      </c>
    </row>
    <row r="77" spans="1:10" ht="47.25" outlineLevel="2">
      <c r="A77" s="112" t="s">
        <v>293</v>
      </c>
      <c r="B77" s="18" t="s">
        <v>46</v>
      </c>
      <c r="C77" s="18" t="s">
        <v>35</v>
      </c>
      <c r="D77" s="18" t="s">
        <v>186</v>
      </c>
      <c r="E77" s="54">
        <v>0</v>
      </c>
      <c r="F77" s="31"/>
      <c r="G77" s="52">
        <f>SUM(G78)</f>
        <v>0</v>
      </c>
      <c r="H77" s="78">
        <f>SUM(H78)</f>
        <v>20</v>
      </c>
      <c r="I77" s="78">
        <f>SUM(I78)</f>
        <v>0</v>
      </c>
      <c r="J77" s="78">
        <f t="shared" si="7"/>
        <v>0</v>
      </c>
    </row>
    <row r="78" spans="1:10" ht="31.5" outlineLevel="2">
      <c r="A78" s="112" t="s">
        <v>119</v>
      </c>
      <c r="B78" s="18" t="s">
        <v>46</v>
      </c>
      <c r="C78" s="18" t="s">
        <v>35</v>
      </c>
      <c r="D78" s="18" t="s">
        <v>186</v>
      </c>
      <c r="E78" s="54">
        <v>0</v>
      </c>
      <c r="F78" s="31">
        <v>200</v>
      </c>
      <c r="G78" s="52"/>
      <c r="H78" s="78">
        <v>20</v>
      </c>
      <c r="I78" s="78">
        <v>0</v>
      </c>
      <c r="J78" s="78">
        <f t="shared" si="7"/>
        <v>0</v>
      </c>
    </row>
    <row r="79" spans="1:10" ht="63" outlineLevel="2">
      <c r="A79" s="112" t="s">
        <v>304</v>
      </c>
      <c r="B79" s="18" t="s">
        <v>46</v>
      </c>
      <c r="C79" s="18" t="s">
        <v>35</v>
      </c>
      <c r="D79" s="18" t="s">
        <v>250</v>
      </c>
      <c r="E79" s="54">
        <v>0</v>
      </c>
      <c r="F79" s="31"/>
      <c r="G79" s="52">
        <f>SUM(G80)</f>
        <v>0</v>
      </c>
      <c r="H79" s="78">
        <f>SUM(H80)</f>
        <v>50</v>
      </c>
      <c r="I79" s="78">
        <f>SUM(I80)</f>
        <v>0</v>
      </c>
      <c r="J79" s="78">
        <f t="shared" si="7"/>
        <v>0</v>
      </c>
    </row>
    <row r="80" spans="1:10" ht="31.5" outlineLevel="2">
      <c r="A80" s="112" t="s">
        <v>119</v>
      </c>
      <c r="B80" s="18" t="s">
        <v>46</v>
      </c>
      <c r="C80" s="18" t="s">
        <v>35</v>
      </c>
      <c r="D80" s="18" t="s">
        <v>250</v>
      </c>
      <c r="E80" s="54">
        <v>0</v>
      </c>
      <c r="F80" s="31">
        <v>200</v>
      </c>
      <c r="G80" s="52"/>
      <c r="H80" s="78">
        <v>50</v>
      </c>
      <c r="I80" s="78">
        <v>0</v>
      </c>
      <c r="J80" s="78">
        <f t="shared" si="7"/>
        <v>0</v>
      </c>
    </row>
    <row r="81" spans="1:10" ht="129.75" customHeight="1" outlineLevel="2">
      <c r="A81" s="112" t="s">
        <v>307</v>
      </c>
      <c r="B81" s="18" t="s">
        <v>46</v>
      </c>
      <c r="C81" s="18" t="s">
        <v>35</v>
      </c>
      <c r="D81" s="18" t="s">
        <v>19</v>
      </c>
      <c r="E81" s="54">
        <v>0</v>
      </c>
      <c r="F81" s="31"/>
      <c r="G81" s="52">
        <f>SUM(G82)</f>
        <v>0</v>
      </c>
      <c r="H81" s="78">
        <f>SUM(H82)</f>
        <v>3100</v>
      </c>
      <c r="I81" s="78">
        <f>SUM(I82)</f>
        <v>1947.584</v>
      </c>
      <c r="J81" s="78">
        <f t="shared" si="7"/>
        <v>62.82529032258065</v>
      </c>
    </row>
    <row r="82" spans="1:10" ht="30.75" customHeight="1" outlineLevel="2">
      <c r="A82" s="112" t="s">
        <v>203</v>
      </c>
      <c r="B82" s="18" t="s">
        <v>46</v>
      </c>
      <c r="C82" s="18" t="s">
        <v>35</v>
      </c>
      <c r="D82" s="18" t="s">
        <v>19</v>
      </c>
      <c r="E82" s="54">
        <v>0</v>
      </c>
      <c r="F82" s="31">
        <v>600</v>
      </c>
      <c r="G82" s="52"/>
      <c r="H82" s="78">
        <v>3100</v>
      </c>
      <c r="I82" s="78">
        <v>1947.584</v>
      </c>
      <c r="J82" s="78">
        <f t="shared" si="7"/>
        <v>62.82529032258065</v>
      </c>
    </row>
    <row r="83" spans="1:10" ht="96.75" customHeight="1" outlineLevel="2">
      <c r="A83" s="112" t="s">
        <v>253</v>
      </c>
      <c r="B83" s="18" t="s">
        <v>46</v>
      </c>
      <c r="C83" s="18" t="s">
        <v>35</v>
      </c>
      <c r="D83" s="18" t="s">
        <v>15</v>
      </c>
      <c r="E83" s="54">
        <v>0</v>
      </c>
      <c r="F83" s="31"/>
      <c r="G83" s="52">
        <f>SUM(G84)</f>
        <v>0</v>
      </c>
      <c r="H83" s="78">
        <f>SUM(H84)</f>
        <v>16000</v>
      </c>
      <c r="I83" s="78">
        <f>SUM(I84)</f>
        <v>10274.18845</v>
      </c>
      <c r="J83" s="78">
        <f t="shared" si="7"/>
        <v>64.21367781250001</v>
      </c>
    </row>
    <row r="84" spans="1:10" ht="35.25" customHeight="1" outlineLevel="2">
      <c r="A84" s="112" t="s">
        <v>203</v>
      </c>
      <c r="B84" s="18" t="s">
        <v>46</v>
      </c>
      <c r="C84" s="18" t="s">
        <v>35</v>
      </c>
      <c r="D84" s="18" t="s">
        <v>15</v>
      </c>
      <c r="E84" s="54">
        <v>0</v>
      </c>
      <c r="F84" s="31">
        <v>600</v>
      </c>
      <c r="G84" s="52"/>
      <c r="H84" s="78">
        <v>16000</v>
      </c>
      <c r="I84" s="78">
        <v>10274.18845</v>
      </c>
      <c r="J84" s="78">
        <f t="shared" si="7"/>
        <v>64.21367781250001</v>
      </c>
    </row>
    <row r="85" spans="1:10" ht="31.5" outlineLevel="2">
      <c r="A85" s="112" t="s">
        <v>56</v>
      </c>
      <c r="B85" s="18" t="s">
        <v>46</v>
      </c>
      <c r="C85" s="18" t="s">
        <v>35</v>
      </c>
      <c r="D85" s="18"/>
      <c r="E85" s="54"/>
      <c r="F85" s="31"/>
      <c r="G85" s="52">
        <f>SUM(G86)</f>
        <v>0</v>
      </c>
      <c r="H85" s="78">
        <f>SUM(H86)</f>
        <v>1018.2</v>
      </c>
      <c r="I85" s="78">
        <f>SUM(I86)</f>
        <v>456.17108</v>
      </c>
      <c r="J85" s="78">
        <f t="shared" si="7"/>
        <v>44.801716755057946</v>
      </c>
    </row>
    <row r="86" spans="1:10" ht="48" customHeight="1" outlineLevel="2">
      <c r="A86" s="112" t="s">
        <v>120</v>
      </c>
      <c r="B86" s="18" t="s">
        <v>46</v>
      </c>
      <c r="C86" s="18" t="s">
        <v>35</v>
      </c>
      <c r="D86" s="18" t="s">
        <v>12</v>
      </c>
      <c r="E86" s="54">
        <v>0</v>
      </c>
      <c r="F86" s="31"/>
      <c r="G86" s="52">
        <f>SUM(G87:G88)</f>
        <v>0</v>
      </c>
      <c r="H86" s="78">
        <f>SUM(H87:H88)</f>
        <v>1018.2</v>
      </c>
      <c r="I86" s="78">
        <f>SUM(I87:I88)</f>
        <v>456.17108</v>
      </c>
      <c r="J86" s="78">
        <f t="shared" si="7"/>
        <v>44.801716755057946</v>
      </c>
    </row>
    <row r="87" spans="1:10" ht="75" customHeight="1" outlineLevel="2">
      <c r="A87" s="112" t="s">
        <v>118</v>
      </c>
      <c r="B87" s="18" t="s">
        <v>46</v>
      </c>
      <c r="C87" s="18" t="s">
        <v>35</v>
      </c>
      <c r="D87" s="18" t="s">
        <v>12</v>
      </c>
      <c r="E87" s="54" t="s">
        <v>10</v>
      </c>
      <c r="F87" s="31">
        <v>100</v>
      </c>
      <c r="G87" s="52"/>
      <c r="H87" s="78">
        <v>841.7</v>
      </c>
      <c r="I87" s="78">
        <v>380.88994</v>
      </c>
      <c r="J87" s="78">
        <f t="shared" si="7"/>
        <v>45.25245812047048</v>
      </c>
    </row>
    <row r="88" spans="1:10" ht="31.5" outlineLevel="2">
      <c r="A88" s="112" t="s">
        <v>119</v>
      </c>
      <c r="B88" s="18" t="s">
        <v>46</v>
      </c>
      <c r="C88" s="18" t="s">
        <v>35</v>
      </c>
      <c r="D88" s="18" t="s">
        <v>12</v>
      </c>
      <c r="E88" s="54" t="s">
        <v>10</v>
      </c>
      <c r="F88" s="31">
        <v>200</v>
      </c>
      <c r="G88" s="52"/>
      <c r="H88" s="78">
        <v>176.5</v>
      </c>
      <c r="I88" s="78">
        <v>75.28114</v>
      </c>
      <c r="J88" s="78">
        <f t="shared" si="7"/>
        <v>42.652203966005665</v>
      </c>
    </row>
    <row r="89" spans="1:10" ht="47.25" outlineLevel="2">
      <c r="A89" s="112" t="s">
        <v>54</v>
      </c>
      <c r="B89" s="18" t="s">
        <v>46</v>
      </c>
      <c r="C89" s="18" t="s">
        <v>35</v>
      </c>
      <c r="D89" s="18" t="s">
        <v>17</v>
      </c>
      <c r="E89" s="54">
        <v>0</v>
      </c>
      <c r="F89" s="31"/>
      <c r="G89" s="52">
        <f aca="true" t="shared" si="8" ref="G89:I90">SUM(G90)</f>
        <v>0</v>
      </c>
      <c r="H89" s="78">
        <f t="shared" si="8"/>
        <v>100</v>
      </c>
      <c r="I89" s="78">
        <f t="shared" si="8"/>
        <v>2.2</v>
      </c>
      <c r="J89" s="78">
        <f t="shared" si="7"/>
        <v>2.2</v>
      </c>
    </row>
    <row r="90" spans="1:10" ht="47.25" outlineLevel="2">
      <c r="A90" s="112" t="s">
        <v>202</v>
      </c>
      <c r="B90" s="18" t="s">
        <v>46</v>
      </c>
      <c r="C90" s="18" t="s">
        <v>35</v>
      </c>
      <c r="D90" s="18" t="s">
        <v>17</v>
      </c>
      <c r="E90" s="54" t="s">
        <v>10</v>
      </c>
      <c r="F90" s="31"/>
      <c r="G90" s="52">
        <f t="shared" si="8"/>
        <v>0</v>
      </c>
      <c r="H90" s="78">
        <f t="shared" si="8"/>
        <v>100</v>
      </c>
      <c r="I90" s="78">
        <f t="shared" si="8"/>
        <v>2.2</v>
      </c>
      <c r="J90" s="78">
        <f t="shared" si="7"/>
        <v>2.2</v>
      </c>
    </row>
    <row r="91" spans="1:10" ht="31.5" outlineLevel="5">
      <c r="A91" s="112" t="s">
        <v>119</v>
      </c>
      <c r="B91" s="18" t="s">
        <v>46</v>
      </c>
      <c r="C91" s="18" t="s">
        <v>35</v>
      </c>
      <c r="D91" s="18" t="s">
        <v>17</v>
      </c>
      <c r="E91" s="54" t="s">
        <v>10</v>
      </c>
      <c r="F91" s="31">
        <v>200</v>
      </c>
      <c r="G91" s="52"/>
      <c r="H91" s="78">
        <v>100</v>
      </c>
      <c r="I91" s="78">
        <v>2.2</v>
      </c>
      <c r="J91" s="78">
        <f t="shared" si="7"/>
        <v>2.2</v>
      </c>
    </row>
    <row r="92" spans="1:10" ht="31.5" outlineLevel="5">
      <c r="A92" s="112" t="s">
        <v>55</v>
      </c>
      <c r="B92" s="18" t="s">
        <v>46</v>
      </c>
      <c r="C92" s="18" t="s">
        <v>35</v>
      </c>
      <c r="D92" s="18" t="s">
        <v>17</v>
      </c>
      <c r="E92" s="54">
        <v>0</v>
      </c>
      <c r="F92" s="31"/>
      <c r="G92" s="52">
        <f>SUM(G93)</f>
        <v>-1910.073</v>
      </c>
      <c r="H92" s="78">
        <f>SUM(H93)</f>
        <v>13009.720840000002</v>
      </c>
      <c r="I92" s="78">
        <f>SUM(I93)</f>
        <v>2080.23191</v>
      </c>
      <c r="J92" s="78">
        <f t="shared" si="7"/>
        <v>15.989827418925614</v>
      </c>
    </row>
    <row r="93" spans="1:10" ht="47.25" outlineLevel="5">
      <c r="A93" s="112" t="s">
        <v>202</v>
      </c>
      <c r="B93" s="18" t="s">
        <v>46</v>
      </c>
      <c r="C93" s="18" t="s">
        <v>35</v>
      </c>
      <c r="D93" s="18" t="s">
        <v>17</v>
      </c>
      <c r="E93" s="54" t="s">
        <v>10</v>
      </c>
      <c r="F93" s="31"/>
      <c r="G93" s="52">
        <f>SUM(G94:G95)</f>
        <v>-1910.073</v>
      </c>
      <c r="H93" s="78">
        <f>SUM(H94:H95)</f>
        <v>13009.720840000002</v>
      </c>
      <c r="I93" s="78">
        <f>SUM(I94:I95)</f>
        <v>2080.23191</v>
      </c>
      <c r="J93" s="78">
        <f t="shared" si="7"/>
        <v>15.989827418925614</v>
      </c>
    </row>
    <row r="94" spans="1:10" ht="31.5" outlineLevel="5">
      <c r="A94" s="112" t="s">
        <v>119</v>
      </c>
      <c r="B94" s="18" t="s">
        <v>46</v>
      </c>
      <c r="C94" s="18" t="s">
        <v>35</v>
      </c>
      <c r="D94" s="18" t="s">
        <v>17</v>
      </c>
      <c r="E94" s="54">
        <v>0</v>
      </c>
      <c r="F94" s="31">
        <v>200</v>
      </c>
      <c r="G94" s="52">
        <f>-61.1-198.223-15.85-160+2.6-1000-165-312.5</f>
        <v>-1910.073</v>
      </c>
      <c r="H94" s="78">
        <f>975+1000+925.19384+554.9-61.1-198.223-15.85-160+2.6-1000-165-312.5</f>
        <v>1545.0208400000001</v>
      </c>
      <c r="I94" s="78">
        <v>491.75791</v>
      </c>
      <c r="J94" s="78">
        <f t="shared" si="7"/>
        <v>31.82856161344723</v>
      </c>
    </row>
    <row r="95" spans="1:10" ht="15.75" outlineLevel="5">
      <c r="A95" s="112" t="s">
        <v>175</v>
      </c>
      <c r="B95" s="18" t="s">
        <v>46</v>
      </c>
      <c r="C95" s="18" t="s">
        <v>35</v>
      </c>
      <c r="D95" s="18" t="s">
        <v>17</v>
      </c>
      <c r="E95" s="54">
        <v>0</v>
      </c>
      <c r="F95" s="31">
        <v>800</v>
      </c>
      <c r="G95" s="52"/>
      <c r="H95" s="78">
        <f>11345+119.7</f>
        <v>11464.7</v>
      </c>
      <c r="I95" s="78">
        <v>1588.474</v>
      </c>
      <c r="J95" s="78">
        <f t="shared" si="7"/>
        <v>13.855347283400349</v>
      </c>
    </row>
    <row r="96" spans="1:10" ht="48" customHeight="1" outlineLevel="5">
      <c r="A96" s="112" t="s">
        <v>289</v>
      </c>
      <c r="B96" s="18" t="s">
        <v>46</v>
      </c>
      <c r="C96" s="18" t="s">
        <v>35</v>
      </c>
      <c r="D96" s="18" t="s">
        <v>17</v>
      </c>
      <c r="E96" s="54">
        <v>0</v>
      </c>
      <c r="F96" s="31"/>
      <c r="G96" s="52">
        <f>SUM(G97)</f>
        <v>0</v>
      </c>
      <c r="H96" s="78">
        <f>SUM(H97)</f>
        <v>654.1</v>
      </c>
      <c r="I96" s="78">
        <f>SUM(I97)</f>
        <v>70.02088</v>
      </c>
      <c r="J96" s="78">
        <f t="shared" si="7"/>
        <v>10.704919737043266</v>
      </c>
    </row>
    <row r="97" spans="1:10" ht="47.25" outlineLevel="5">
      <c r="A97" s="112" t="s">
        <v>202</v>
      </c>
      <c r="B97" s="18" t="s">
        <v>46</v>
      </c>
      <c r="C97" s="18" t="s">
        <v>35</v>
      </c>
      <c r="D97" s="18" t="s">
        <v>17</v>
      </c>
      <c r="E97" s="54" t="s">
        <v>10</v>
      </c>
      <c r="F97" s="31"/>
      <c r="G97" s="52">
        <f>SUM(G98:G98)</f>
        <v>0</v>
      </c>
      <c r="H97" s="78">
        <f>SUM(H98:H98)</f>
        <v>654.1</v>
      </c>
      <c r="I97" s="78">
        <f>SUM(I98:I98)</f>
        <v>70.02088</v>
      </c>
      <c r="J97" s="78">
        <f t="shared" si="7"/>
        <v>10.704919737043266</v>
      </c>
    </row>
    <row r="98" spans="1:10" ht="31.5" outlineLevel="5">
      <c r="A98" s="112" t="s">
        <v>119</v>
      </c>
      <c r="B98" s="18" t="s">
        <v>46</v>
      </c>
      <c r="C98" s="18" t="s">
        <v>35</v>
      </c>
      <c r="D98" s="18" t="s">
        <v>17</v>
      </c>
      <c r="E98" s="54">
        <v>0</v>
      </c>
      <c r="F98" s="31">
        <v>200</v>
      </c>
      <c r="G98" s="52"/>
      <c r="H98" s="78">
        <v>654.1</v>
      </c>
      <c r="I98" s="78">
        <v>70.02088</v>
      </c>
      <c r="J98" s="78">
        <f t="shared" si="7"/>
        <v>10.704919737043266</v>
      </c>
    </row>
    <row r="99" spans="1:10" ht="15.75" outlineLevel="5">
      <c r="A99" s="112" t="s">
        <v>57</v>
      </c>
      <c r="B99" s="18" t="s">
        <v>46</v>
      </c>
      <c r="C99" s="18" t="s">
        <v>35</v>
      </c>
      <c r="D99" s="18" t="s">
        <v>17</v>
      </c>
      <c r="E99" s="54">
        <v>0</v>
      </c>
      <c r="F99" s="31"/>
      <c r="G99" s="52"/>
      <c r="H99" s="78">
        <v>0</v>
      </c>
      <c r="I99" s="78">
        <v>0</v>
      </c>
      <c r="J99" s="78">
        <v>0</v>
      </c>
    </row>
    <row r="100" spans="1:10" ht="15.75" outlineLevel="1">
      <c r="A100" s="112" t="s">
        <v>59</v>
      </c>
      <c r="B100" s="18" t="s">
        <v>46</v>
      </c>
      <c r="C100" s="18" t="s">
        <v>134</v>
      </c>
      <c r="D100" s="18"/>
      <c r="E100" s="54"/>
      <c r="F100" s="31"/>
      <c r="G100" s="52"/>
      <c r="H100" s="78">
        <f aca="true" t="shared" si="9" ref="H100:I103">SUM(H101)</f>
        <v>20</v>
      </c>
      <c r="I100" s="78">
        <f t="shared" si="9"/>
        <v>0</v>
      </c>
      <c r="J100" s="78">
        <f t="shared" si="7"/>
        <v>0</v>
      </c>
    </row>
    <row r="101" spans="1:10" ht="15.75" outlineLevel="2">
      <c r="A101" s="112" t="s">
        <v>60</v>
      </c>
      <c r="B101" s="18" t="s">
        <v>46</v>
      </c>
      <c r="C101" s="18" t="s">
        <v>61</v>
      </c>
      <c r="D101" s="18"/>
      <c r="E101" s="54"/>
      <c r="F101" s="31"/>
      <c r="G101" s="52">
        <f>SUM(G102)</f>
        <v>0</v>
      </c>
      <c r="H101" s="78">
        <f t="shared" si="9"/>
        <v>20</v>
      </c>
      <c r="I101" s="78">
        <f t="shared" si="9"/>
        <v>0</v>
      </c>
      <c r="J101" s="78">
        <f t="shared" si="7"/>
        <v>0</v>
      </c>
    </row>
    <row r="102" spans="1:10" ht="31.5" outlineLevel="5">
      <c r="A102" s="112" t="s">
        <v>18</v>
      </c>
      <c r="B102" s="18" t="s">
        <v>46</v>
      </c>
      <c r="C102" s="18" t="s">
        <v>61</v>
      </c>
      <c r="D102" s="18"/>
      <c r="E102" s="54"/>
      <c r="F102" s="31"/>
      <c r="G102" s="52">
        <f>SUM(G103)</f>
        <v>0</v>
      </c>
      <c r="H102" s="78">
        <f t="shared" si="9"/>
        <v>20</v>
      </c>
      <c r="I102" s="78">
        <f t="shared" si="9"/>
        <v>0</v>
      </c>
      <c r="J102" s="78">
        <f t="shared" si="7"/>
        <v>0</v>
      </c>
    </row>
    <row r="103" spans="1:10" ht="47.25" outlineLevel="5">
      <c r="A103" s="112" t="s">
        <v>202</v>
      </c>
      <c r="B103" s="18" t="s">
        <v>46</v>
      </c>
      <c r="C103" s="18" t="s">
        <v>61</v>
      </c>
      <c r="D103" s="18" t="s">
        <v>17</v>
      </c>
      <c r="E103" s="54">
        <v>0</v>
      </c>
      <c r="F103" s="31"/>
      <c r="G103" s="52">
        <f>SUM(G104)</f>
        <v>0</v>
      </c>
      <c r="H103" s="78">
        <f t="shared" si="9"/>
        <v>20</v>
      </c>
      <c r="I103" s="78">
        <f t="shared" si="9"/>
        <v>0</v>
      </c>
      <c r="J103" s="78">
        <f t="shared" si="7"/>
        <v>0</v>
      </c>
    </row>
    <row r="104" spans="1:10" ht="31.5" outlineLevel="5">
      <c r="A104" s="112" t="s">
        <v>119</v>
      </c>
      <c r="B104" s="18" t="s">
        <v>46</v>
      </c>
      <c r="C104" s="18" t="s">
        <v>61</v>
      </c>
      <c r="D104" s="18" t="s">
        <v>17</v>
      </c>
      <c r="E104" s="54">
        <v>0</v>
      </c>
      <c r="F104" s="31">
        <v>200</v>
      </c>
      <c r="G104" s="52"/>
      <c r="H104" s="78">
        <v>20</v>
      </c>
      <c r="I104" s="78">
        <v>0</v>
      </c>
      <c r="J104" s="78">
        <f t="shared" si="7"/>
        <v>0</v>
      </c>
    </row>
    <row r="105" spans="1:10" ht="31.5" outlineLevel="5">
      <c r="A105" s="112" t="s">
        <v>139</v>
      </c>
      <c r="B105" s="18" t="s">
        <v>46</v>
      </c>
      <c r="C105" s="18" t="s">
        <v>135</v>
      </c>
      <c r="D105" s="18"/>
      <c r="E105" s="54"/>
      <c r="F105" s="31"/>
      <c r="G105" s="52">
        <f>SUM(G106+G109)</f>
        <v>0</v>
      </c>
      <c r="H105" s="78">
        <f>SUM(H106+H109)</f>
        <v>70</v>
      </c>
      <c r="I105" s="78">
        <f>SUM(I106+I109)</f>
        <v>0</v>
      </c>
      <c r="J105" s="78">
        <f t="shared" si="7"/>
        <v>0</v>
      </c>
    </row>
    <row r="106" spans="1:10" ht="47.25" customHeight="1" outlineLevel="1">
      <c r="A106" s="112" t="s">
        <v>140</v>
      </c>
      <c r="B106" s="18" t="s">
        <v>46</v>
      </c>
      <c r="C106" s="18" t="s">
        <v>62</v>
      </c>
      <c r="D106" s="18"/>
      <c r="E106" s="54"/>
      <c r="F106" s="31"/>
      <c r="G106" s="52">
        <f aca="true" t="shared" si="10" ref="G106:I107">SUM(G107)</f>
        <v>0</v>
      </c>
      <c r="H106" s="78">
        <f t="shared" si="10"/>
        <v>50</v>
      </c>
      <c r="I106" s="78">
        <f t="shared" si="10"/>
        <v>0</v>
      </c>
      <c r="J106" s="78">
        <f t="shared" si="7"/>
        <v>0</v>
      </c>
    </row>
    <row r="107" spans="1:10" ht="45" customHeight="1" outlineLevel="2">
      <c r="A107" s="112" t="s">
        <v>202</v>
      </c>
      <c r="B107" s="18" t="s">
        <v>46</v>
      </c>
      <c r="C107" s="18" t="s">
        <v>62</v>
      </c>
      <c r="D107" s="18" t="s">
        <v>17</v>
      </c>
      <c r="E107" s="54">
        <v>0</v>
      </c>
      <c r="F107" s="31"/>
      <c r="G107" s="52">
        <f t="shared" si="10"/>
        <v>0</v>
      </c>
      <c r="H107" s="78">
        <f t="shared" si="10"/>
        <v>50</v>
      </c>
      <c r="I107" s="78">
        <f t="shared" si="10"/>
        <v>0</v>
      </c>
      <c r="J107" s="78">
        <f t="shared" si="7"/>
        <v>0</v>
      </c>
    </row>
    <row r="108" spans="1:10" ht="31.5" outlineLevel="3">
      <c r="A108" s="112" t="s">
        <v>119</v>
      </c>
      <c r="B108" s="18" t="s">
        <v>46</v>
      </c>
      <c r="C108" s="18" t="s">
        <v>62</v>
      </c>
      <c r="D108" s="18" t="s">
        <v>17</v>
      </c>
      <c r="E108" s="54">
        <v>0</v>
      </c>
      <c r="F108" s="31">
        <v>200</v>
      </c>
      <c r="G108" s="52"/>
      <c r="H108" s="78">
        <v>50</v>
      </c>
      <c r="I108" s="78">
        <v>0</v>
      </c>
      <c r="J108" s="78">
        <f t="shared" si="7"/>
        <v>0</v>
      </c>
    </row>
    <row r="109" spans="1:10" ht="34.5" customHeight="1" outlineLevel="3">
      <c r="A109" s="112" t="s">
        <v>141</v>
      </c>
      <c r="B109" s="18" t="s">
        <v>46</v>
      </c>
      <c r="C109" s="18" t="s">
        <v>62</v>
      </c>
      <c r="D109" s="18"/>
      <c r="E109" s="54"/>
      <c r="F109" s="31"/>
      <c r="G109" s="128">
        <f aca="true" t="shared" si="11" ref="G109:I110">SUM(G110)</f>
        <v>0</v>
      </c>
      <c r="H109" s="131">
        <f t="shared" si="11"/>
        <v>20</v>
      </c>
      <c r="I109" s="131">
        <f t="shared" si="11"/>
        <v>0</v>
      </c>
      <c r="J109" s="78">
        <f t="shared" si="7"/>
        <v>0</v>
      </c>
    </row>
    <row r="110" spans="1:10" ht="47.25" outlineLevel="1">
      <c r="A110" s="112" t="s">
        <v>202</v>
      </c>
      <c r="B110" s="18" t="s">
        <v>46</v>
      </c>
      <c r="C110" s="18" t="s">
        <v>62</v>
      </c>
      <c r="D110" s="18" t="s">
        <v>17</v>
      </c>
      <c r="E110" s="54">
        <v>0</v>
      </c>
      <c r="F110" s="31"/>
      <c r="G110" s="52">
        <f t="shared" si="11"/>
        <v>0</v>
      </c>
      <c r="H110" s="78">
        <f t="shared" si="11"/>
        <v>20</v>
      </c>
      <c r="I110" s="78">
        <f t="shared" si="11"/>
        <v>0</v>
      </c>
      <c r="J110" s="78">
        <f t="shared" si="7"/>
        <v>0</v>
      </c>
    </row>
    <row r="111" spans="1:10" ht="31.5" outlineLevel="2">
      <c r="A111" s="112" t="s">
        <v>119</v>
      </c>
      <c r="B111" s="18" t="s">
        <v>46</v>
      </c>
      <c r="C111" s="18" t="s">
        <v>62</v>
      </c>
      <c r="D111" s="18" t="s">
        <v>17</v>
      </c>
      <c r="E111" s="54">
        <v>0</v>
      </c>
      <c r="F111" s="31">
        <v>200</v>
      </c>
      <c r="G111" s="52"/>
      <c r="H111" s="78">
        <v>20</v>
      </c>
      <c r="I111" s="78">
        <v>0</v>
      </c>
      <c r="J111" s="78">
        <f t="shared" si="7"/>
        <v>0</v>
      </c>
    </row>
    <row r="112" spans="1:10" ht="15.75" outlineLevel="3">
      <c r="A112" s="112" t="s">
        <v>142</v>
      </c>
      <c r="B112" s="18" t="s">
        <v>46</v>
      </c>
      <c r="C112" s="18" t="s">
        <v>73</v>
      </c>
      <c r="D112" s="18"/>
      <c r="E112" s="54"/>
      <c r="F112" s="31"/>
      <c r="G112" s="128">
        <f>SUM(G113+G117+G121)</f>
        <v>0</v>
      </c>
      <c r="H112" s="131">
        <f>SUM(H113+H117+H121)</f>
        <v>14004.837809999999</v>
      </c>
      <c r="I112" s="131">
        <f>SUM(I113+I117+I121)</f>
        <v>185.7039</v>
      </c>
      <c r="J112" s="78">
        <f t="shared" si="7"/>
        <v>1.3259982194681341</v>
      </c>
    </row>
    <row r="113" spans="1:10" ht="15.75" outlineLevel="3">
      <c r="A113" s="112" t="s">
        <v>177</v>
      </c>
      <c r="B113" s="18" t="s">
        <v>46</v>
      </c>
      <c r="C113" s="18" t="s">
        <v>178</v>
      </c>
      <c r="D113" s="18"/>
      <c r="E113" s="54"/>
      <c r="F113" s="31"/>
      <c r="G113" s="128">
        <f aca="true" t="shared" si="12" ref="G113:I115">SUM(G114)</f>
        <v>0</v>
      </c>
      <c r="H113" s="131">
        <f t="shared" si="12"/>
        <v>24.8</v>
      </c>
      <c r="I113" s="131">
        <f t="shared" si="12"/>
        <v>0</v>
      </c>
      <c r="J113" s="78">
        <f t="shared" si="7"/>
        <v>0</v>
      </c>
    </row>
    <row r="114" spans="1:10" ht="82.5" customHeight="1" outlineLevel="3">
      <c r="A114" s="112" t="s">
        <v>316</v>
      </c>
      <c r="B114" s="18" t="s">
        <v>46</v>
      </c>
      <c r="C114" s="18" t="s">
        <v>178</v>
      </c>
      <c r="D114" s="18"/>
      <c r="E114" s="54"/>
      <c r="F114" s="31"/>
      <c r="G114" s="128">
        <f t="shared" si="12"/>
        <v>0</v>
      </c>
      <c r="H114" s="131">
        <f t="shared" si="12"/>
        <v>24.8</v>
      </c>
      <c r="I114" s="131">
        <f t="shared" si="12"/>
        <v>0</v>
      </c>
      <c r="J114" s="78">
        <f t="shared" si="7"/>
        <v>0</v>
      </c>
    </row>
    <row r="115" spans="1:10" ht="45.75" customHeight="1" outlineLevel="3">
      <c r="A115" s="112" t="s">
        <v>202</v>
      </c>
      <c r="B115" s="18" t="s">
        <v>46</v>
      </c>
      <c r="C115" s="18" t="s">
        <v>178</v>
      </c>
      <c r="D115" s="18" t="s">
        <v>17</v>
      </c>
      <c r="E115" s="54">
        <v>0</v>
      </c>
      <c r="F115" s="31"/>
      <c r="G115" s="128">
        <f t="shared" si="12"/>
        <v>0</v>
      </c>
      <c r="H115" s="131">
        <f t="shared" si="12"/>
        <v>24.8</v>
      </c>
      <c r="I115" s="131">
        <f t="shared" si="12"/>
        <v>0</v>
      </c>
      <c r="J115" s="78">
        <f t="shared" si="7"/>
        <v>0</v>
      </c>
    </row>
    <row r="116" spans="1:10" ht="33.75" customHeight="1" outlineLevel="3">
      <c r="A116" s="112" t="s">
        <v>119</v>
      </c>
      <c r="B116" s="18" t="s">
        <v>46</v>
      </c>
      <c r="C116" s="18" t="s">
        <v>178</v>
      </c>
      <c r="D116" s="18" t="s">
        <v>17</v>
      </c>
      <c r="E116" s="54">
        <v>0</v>
      </c>
      <c r="F116" s="31">
        <v>200</v>
      </c>
      <c r="G116" s="52"/>
      <c r="H116" s="78">
        <v>24.8</v>
      </c>
      <c r="I116" s="78">
        <v>0</v>
      </c>
      <c r="J116" s="78">
        <f t="shared" si="7"/>
        <v>0</v>
      </c>
    </row>
    <row r="117" spans="1:10" ht="15.75">
      <c r="A117" s="112" t="s">
        <v>143</v>
      </c>
      <c r="B117" s="18" t="s">
        <v>46</v>
      </c>
      <c r="C117" s="18" t="s">
        <v>63</v>
      </c>
      <c r="D117" s="18"/>
      <c r="E117" s="54"/>
      <c r="F117" s="31"/>
      <c r="G117" s="128">
        <f>SUM(G118)</f>
        <v>0</v>
      </c>
      <c r="H117" s="131">
        <f>SUM(H118)</f>
        <v>10625.03781</v>
      </c>
      <c r="I117" s="131">
        <f>SUM(I118)</f>
        <v>0</v>
      </c>
      <c r="J117" s="78">
        <f t="shared" si="7"/>
        <v>0</v>
      </c>
    </row>
    <row r="118" spans="1:10" ht="66" customHeight="1" outlineLevel="1">
      <c r="A118" s="112" t="s">
        <v>244</v>
      </c>
      <c r="B118" s="18" t="s">
        <v>46</v>
      </c>
      <c r="C118" s="18" t="s">
        <v>63</v>
      </c>
      <c r="D118" s="18" t="s">
        <v>181</v>
      </c>
      <c r="E118" s="54">
        <v>0</v>
      </c>
      <c r="F118" s="65"/>
      <c r="G118" s="52">
        <f>SUM(G119:G120)</f>
        <v>0</v>
      </c>
      <c r="H118" s="78">
        <f>SUM(H119:H120)</f>
        <v>10625.03781</v>
      </c>
      <c r="I118" s="78">
        <f>SUM(I119:I120)</f>
        <v>0</v>
      </c>
      <c r="J118" s="78">
        <f t="shared" si="7"/>
        <v>0</v>
      </c>
    </row>
    <row r="119" spans="1:10" ht="31.5" outlineLevel="2">
      <c r="A119" s="112" t="s">
        <v>119</v>
      </c>
      <c r="B119" s="18" t="s">
        <v>46</v>
      </c>
      <c r="C119" s="18" t="s">
        <v>63</v>
      </c>
      <c r="D119" s="18" t="s">
        <v>181</v>
      </c>
      <c r="E119" s="54">
        <v>0</v>
      </c>
      <c r="F119" s="65">
        <v>200</v>
      </c>
      <c r="G119" s="52">
        <v>-3000</v>
      </c>
      <c r="H119" s="78">
        <f>3397.7+7227.33781-3000</f>
        <v>7625.03781</v>
      </c>
      <c r="I119" s="78">
        <v>0</v>
      </c>
      <c r="J119" s="78">
        <f t="shared" si="7"/>
        <v>0</v>
      </c>
    </row>
    <row r="120" spans="1:10" ht="15.75" outlineLevel="2">
      <c r="A120" s="112" t="s">
        <v>205</v>
      </c>
      <c r="B120" s="18" t="s">
        <v>46</v>
      </c>
      <c r="C120" s="18" t="s">
        <v>63</v>
      </c>
      <c r="D120" s="18" t="s">
        <v>181</v>
      </c>
      <c r="E120" s="54">
        <v>0</v>
      </c>
      <c r="F120" s="65">
        <v>500</v>
      </c>
      <c r="G120" s="52">
        <v>3000</v>
      </c>
      <c r="H120" s="78">
        <v>3000</v>
      </c>
      <c r="I120" s="78">
        <v>0</v>
      </c>
      <c r="J120" s="78">
        <f t="shared" si="7"/>
        <v>0</v>
      </c>
    </row>
    <row r="121" spans="1:10" ht="17.25" customHeight="1" outlineLevel="3">
      <c r="A121" s="112" t="s">
        <v>144</v>
      </c>
      <c r="B121" s="18" t="s">
        <v>46</v>
      </c>
      <c r="C121" s="18" t="s">
        <v>65</v>
      </c>
      <c r="D121" s="18"/>
      <c r="E121" s="54"/>
      <c r="F121" s="31"/>
      <c r="G121" s="52">
        <f>SUM(G122+G126+G128+G131)</f>
        <v>0</v>
      </c>
      <c r="H121" s="78">
        <f>SUM(H122+H126+H128+H131)</f>
        <v>3355</v>
      </c>
      <c r="I121" s="78">
        <f>SUM(I122+I126+I128+I131)</f>
        <v>185.7039</v>
      </c>
      <c r="J121" s="78">
        <f t="shared" si="7"/>
        <v>5.535138599105812</v>
      </c>
    </row>
    <row r="122" spans="1:10" ht="46.5" customHeight="1" outlineLevel="3">
      <c r="A122" s="112" t="s">
        <v>198</v>
      </c>
      <c r="B122" s="18" t="s">
        <v>46</v>
      </c>
      <c r="C122" s="18" t="s">
        <v>65</v>
      </c>
      <c r="D122" s="18" t="s">
        <v>14</v>
      </c>
      <c r="E122" s="54">
        <v>0</v>
      </c>
      <c r="F122" s="31"/>
      <c r="G122" s="52">
        <f>SUM(G123:G125)</f>
        <v>0</v>
      </c>
      <c r="H122" s="78">
        <f>SUM(H123:H125)</f>
        <v>300</v>
      </c>
      <c r="I122" s="78">
        <f>SUM(I123:I125)</f>
        <v>76.494</v>
      </c>
      <c r="J122" s="78">
        <f t="shared" si="7"/>
        <v>25.497999999999998</v>
      </c>
    </row>
    <row r="123" spans="1:10" ht="31.5" outlineLevel="3">
      <c r="A123" s="112" t="s">
        <v>119</v>
      </c>
      <c r="B123" s="18" t="s">
        <v>46</v>
      </c>
      <c r="C123" s="18" t="s">
        <v>65</v>
      </c>
      <c r="D123" s="18" t="s">
        <v>14</v>
      </c>
      <c r="E123" s="54">
        <v>0</v>
      </c>
      <c r="F123" s="31">
        <v>200</v>
      </c>
      <c r="G123" s="52"/>
      <c r="H123" s="78">
        <v>50</v>
      </c>
      <c r="I123" s="78">
        <v>26.494</v>
      </c>
      <c r="J123" s="78">
        <f t="shared" si="7"/>
        <v>52.988</v>
      </c>
    </row>
    <row r="124" spans="1:10" ht="24" customHeight="1" outlineLevel="3">
      <c r="A124" s="112" t="s">
        <v>204</v>
      </c>
      <c r="B124" s="18" t="s">
        <v>46</v>
      </c>
      <c r="C124" s="18" t="s">
        <v>65</v>
      </c>
      <c r="D124" s="18" t="s">
        <v>14</v>
      </c>
      <c r="E124" s="54">
        <v>0</v>
      </c>
      <c r="F124" s="31">
        <v>300</v>
      </c>
      <c r="G124" s="52"/>
      <c r="H124" s="78">
        <v>50</v>
      </c>
      <c r="I124" s="78">
        <v>50</v>
      </c>
      <c r="J124" s="78">
        <f t="shared" si="7"/>
        <v>100</v>
      </c>
    </row>
    <row r="125" spans="1:10" ht="15.75" outlineLevel="3">
      <c r="A125" s="112" t="s">
        <v>175</v>
      </c>
      <c r="B125" s="18" t="s">
        <v>46</v>
      </c>
      <c r="C125" s="18" t="s">
        <v>65</v>
      </c>
      <c r="D125" s="18" t="s">
        <v>14</v>
      </c>
      <c r="E125" s="54">
        <v>0</v>
      </c>
      <c r="F125" s="31">
        <v>800</v>
      </c>
      <c r="G125" s="52"/>
      <c r="H125" s="78">
        <v>200</v>
      </c>
      <c r="I125" s="78">
        <v>0</v>
      </c>
      <c r="J125" s="78">
        <f t="shared" si="7"/>
        <v>0</v>
      </c>
    </row>
    <row r="126" spans="1:10" ht="63" customHeight="1" outlineLevel="3">
      <c r="A126" s="112" t="s">
        <v>243</v>
      </c>
      <c r="B126" s="18" t="s">
        <v>46</v>
      </c>
      <c r="C126" s="18" t="s">
        <v>65</v>
      </c>
      <c r="D126" s="18" t="s">
        <v>182</v>
      </c>
      <c r="E126" s="54">
        <v>0</v>
      </c>
      <c r="F126" s="31"/>
      <c r="G126" s="52">
        <f>SUM(G127)</f>
        <v>0</v>
      </c>
      <c r="H126" s="78">
        <f>SUM(H127)</f>
        <v>100</v>
      </c>
      <c r="I126" s="78">
        <f>SUM(I127)</f>
        <v>0</v>
      </c>
      <c r="J126" s="78">
        <f t="shared" si="7"/>
        <v>0</v>
      </c>
    </row>
    <row r="127" spans="1:10" ht="28.5" customHeight="1" outlineLevel="3">
      <c r="A127" s="112" t="s">
        <v>203</v>
      </c>
      <c r="B127" s="18" t="s">
        <v>46</v>
      </c>
      <c r="C127" s="18" t="s">
        <v>65</v>
      </c>
      <c r="D127" s="18" t="s">
        <v>182</v>
      </c>
      <c r="E127" s="54">
        <v>0</v>
      </c>
      <c r="F127" s="31">
        <v>600</v>
      </c>
      <c r="G127" s="52"/>
      <c r="H127" s="78">
        <v>100</v>
      </c>
      <c r="I127" s="78">
        <v>0</v>
      </c>
      <c r="J127" s="78">
        <f t="shared" si="7"/>
        <v>0</v>
      </c>
    </row>
    <row r="128" spans="1:10" ht="31.5" outlineLevel="1">
      <c r="A128" s="112" t="s">
        <v>145</v>
      </c>
      <c r="B128" s="18" t="s">
        <v>46</v>
      </c>
      <c r="C128" s="18" t="s">
        <v>65</v>
      </c>
      <c r="D128" s="18"/>
      <c r="E128" s="54"/>
      <c r="F128" s="31"/>
      <c r="G128" s="52">
        <f aca="true" t="shared" si="13" ref="G128:I129">SUM(G129)</f>
        <v>0</v>
      </c>
      <c r="H128" s="78">
        <f t="shared" si="13"/>
        <v>325</v>
      </c>
      <c r="I128" s="78">
        <f t="shared" si="13"/>
        <v>74.64</v>
      </c>
      <c r="J128" s="78">
        <f t="shared" si="7"/>
        <v>22.966153846153848</v>
      </c>
    </row>
    <row r="129" spans="1:10" ht="47.25" outlineLevel="2">
      <c r="A129" s="112" t="s">
        <v>202</v>
      </c>
      <c r="B129" s="18" t="s">
        <v>46</v>
      </c>
      <c r="C129" s="18" t="s">
        <v>65</v>
      </c>
      <c r="D129" s="18" t="s">
        <v>17</v>
      </c>
      <c r="E129" s="54">
        <v>0</v>
      </c>
      <c r="F129" s="31"/>
      <c r="G129" s="52">
        <f t="shared" si="13"/>
        <v>0</v>
      </c>
      <c r="H129" s="78">
        <f t="shared" si="13"/>
        <v>325</v>
      </c>
      <c r="I129" s="78">
        <f t="shared" si="13"/>
        <v>74.64</v>
      </c>
      <c r="J129" s="78">
        <f t="shared" si="7"/>
        <v>22.966153846153848</v>
      </c>
    </row>
    <row r="130" spans="1:10" ht="31.5" outlineLevel="3">
      <c r="A130" s="112" t="s">
        <v>119</v>
      </c>
      <c r="B130" s="18" t="s">
        <v>46</v>
      </c>
      <c r="C130" s="18" t="s">
        <v>65</v>
      </c>
      <c r="D130" s="18" t="s">
        <v>17</v>
      </c>
      <c r="E130" s="54">
        <v>0</v>
      </c>
      <c r="F130" s="31">
        <v>200</v>
      </c>
      <c r="G130" s="52"/>
      <c r="H130" s="78">
        <v>325</v>
      </c>
      <c r="I130" s="78">
        <v>74.64</v>
      </c>
      <c r="J130" s="78">
        <f t="shared" si="7"/>
        <v>22.966153846153848</v>
      </c>
    </row>
    <row r="131" spans="1:10" ht="31.5" outlineLevel="3">
      <c r="A131" s="112" t="s">
        <v>64</v>
      </c>
      <c r="B131" s="18" t="s">
        <v>46</v>
      </c>
      <c r="C131" s="18" t="s">
        <v>65</v>
      </c>
      <c r="D131" s="18"/>
      <c r="E131" s="54"/>
      <c r="F131" s="31"/>
      <c r="G131" s="52">
        <f aca="true" t="shared" si="14" ref="G131:I132">SUM(G132)</f>
        <v>0</v>
      </c>
      <c r="H131" s="78">
        <f t="shared" si="14"/>
        <v>2630</v>
      </c>
      <c r="I131" s="78">
        <f t="shared" si="14"/>
        <v>34.5699</v>
      </c>
      <c r="J131" s="78">
        <f t="shared" si="7"/>
        <v>1.314444866920152</v>
      </c>
    </row>
    <row r="132" spans="1:10" ht="47.25" outlineLevel="3">
      <c r="A132" s="112" t="s">
        <v>202</v>
      </c>
      <c r="B132" s="18" t="s">
        <v>46</v>
      </c>
      <c r="C132" s="18" t="s">
        <v>65</v>
      </c>
      <c r="D132" s="18" t="s">
        <v>17</v>
      </c>
      <c r="E132" s="54">
        <v>0</v>
      </c>
      <c r="F132" s="31"/>
      <c r="G132" s="52">
        <f t="shared" si="14"/>
        <v>0</v>
      </c>
      <c r="H132" s="78">
        <f t="shared" si="14"/>
        <v>2630</v>
      </c>
      <c r="I132" s="78">
        <f t="shared" si="14"/>
        <v>34.5699</v>
      </c>
      <c r="J132" s="78">
        <f t="shared" si="7"/>
        <v>1.314444866920152</v>
      </c>
    </row>
    <row r="133" spans="1:10" ht="31.5" outlineLevel="3">
      <c r="A133" s="112" t="s">
        <v>119</v>
      </c>
      <c r="B133" s="18" t="s">
        <v>46</v>
      </c>
      <c r="C133" s="18" t="s">
        <v>65</v>
      </c>
      <c r="D133" s="18" t="s">
        <v>17</v>
      </c>
      <c r="E133" s="54">
        <v>0</v>
      </c>
      <c r="F133" s="31">
        <v>200</v>
      </c>
      <c r="G133" s="52"/>
      <c r="H133" s="78">
        <v>2630</v>
      </c>
      <c r="I133" s="78">
        <v>34.5699</v>
      </c>
      <c r="J133" s="78">
        <f t="shared" si="7"/>
        <v>1.314444866920152</v>
      </c>
    </row>
    <row r="134" spans="1:10" ht="15.75" outlineLevel="3">
      <c r="A134" s="112" t="s">
        <v>68</v>
      </c>
      <c r="B134" s="18" t="s">
        <v>46</v>
      </c>
      <c r="C134" s="18" t="s">
        <v>69</v>
      </c>
      <c r="D134" s="18"/>
      <c r="E134" s="54"/>
      <c r="F134" s="31"/>
      <c r="G134" s="52">
        <f>SUM(G135+G139)</f>
        <v>0</v>
      </c>
      <c r="H134" s="78">
        <f>SUM(H135+H139)</f>
        <v>5590.233319999999</v>
      </c>
      <c r="I134" s="78">
        <f>SUM(I135+I139)</f>
        <v>1997.0142799999999</v>
      </c>
      <c r="J134" s="78">
        <f t="shared" si="7"/>
        <v>35.72327245904649</v>
      </c>
    </row>
    <row r="135" spans="1:10" ht="15.75" outlineLevel="3">
      <c r="A135" s="112" t="s">
        <v>206</v>
      </c>
      <c r="B135" s="18" t="s">
        <v>46</v>
      </c>
      <c r="C135" s="18" t="s">
        <v>207</v>
      </c>
      <c r="D135" s="18"/>
      <c r="E135" s="54"/>
      <c r="F135" s="31"/>
      <c r="G135" s="52">
        <f aca="true" t="shared" si="15" ref="G135:I137">SUM(G136)</f>
        <v>-100</v>
      </c>
      <c r="H135" s="78">
        <f t="shared" si="15"/>
        <v>0</v>
      </c>
      <c r="I135" s="78">
        <f t="shared" si="15"/>
        <v>0</v>
      </c>
      <c r="J135" s="78">
        <v>0</v>
      </c>
    </row>
    <row r="136" spans="1:10" ht="62.25" customHeight="1" outlineLevel="3">
      <c r="A136" s="112" t="s">
        <v>283</v>
      </c>
      <c r="B136" s="18" t="s">
        <v>46</v>
      </c>
      <c r="C136" s="18" t="s">
        <v>207</v>
      </c>
      <c r="D136" s="18" t="s">
        <v>6</v>
      </c>
      <c r="E136" s="54">
        <v>0</v>
      </c>
      <c r="F136" s="31"/>
      <c r="G136" s="52">
        <f t="shared" si="15"/>
        <v>-100</v>
      </c>
      <c r="H136" s="78">
        <f t="shared" si="15"/>
        <v>0</v>
      </c>
      <c r="I136" s="78">
        <f t="shared" si="15"/>
        <v>0</v>
      </c>
      <c r="J136" s="78">
        <v>0</v>
      </c>
    </row>
    <row r="137" spans="1:10" ht="72" customHeight="1" outlineLevel="3">
      <c r="A137" s="112" t="s">
        <v>251</v>
      </c>
      <c r="B137" s="18" t="s">
        <v>46</v>
      </c>
      <c r="C137" s="18" t="s">
        <v>207</v>
      </c>
      <c r="D137" s="18" t="s">
        <v>6</v>
      </c>
      <c r="E137" s="54">
        <v>1</v>
      </c>
      <c r="F137" s="31"/>
      <c r="G137" s="52">
        <f t="shared" si="15"/>
        <v>-100</v>
      </c>
      <c r="H137" s="78">
        <f t="shared" si="15"/>
        <v>0</v>
      </c>
      <c r="I137" s="78">
        <f t="shared" si="15"/>
        <v>0</v>
      </c>
      <c r="J137" s="78">
        <v>0</v>
      </c>
    </row>
    <row r="138" spans="1:10" ht="15.75" outlineLevel="3">
      <c r="A138" s="112" t="s">
        <v>205</v>
      </c>
      <c r="B138" s="18" t="s">
        <v>46</v>
      </c>
      <c r="C138" s="18" t="s">
        <v>207</v>
      </c>
      <c r="D138" s="18" t="s">
        <v>6</v>
      </c>
      <c r="E138" s="54">
        <v>1</v>
      </c>
      <c r="F138" s="31">
        <v>500</v>
      </c>
      <c r="G138" s="52">
        <v>-100</v>
      </c>
      <c r="H138" s="78">
        <f>100-100</f>
        <v>0</v>
      </c>
      <c r="I138" s="78">
        <v>0</v>
      </c>
      <c r="J138" s="78">
        <v>0</v>
      </c>
    </row>
    <row r="139" spans="1:10" ht="15.75" outlineLevel="3">
      <c r="A139" s="112" t="s">
        <v>66</v>
      </c>
      <c r="B139" s="18" t="s">
        <v>46</v>
      </c>
      <c r="C139" s="18" t="s">
        <v>70</v>
      </c>
      <c r="D139" s="18"/>
      <c r="E139" s="54"/>
      <c r="F139" s="31"/>
      <c r="G139" s="52">
        <f>SUM(G140+G149+G151)</f>
        <v>100</v>
      </c>
      <c r="H139" s="78">
        <f>SUM(H140+H149+H151)</f>
        <v>5590.233319999999</v>
      </c>
      <c r="I139" s="78">
        <f>SUM(I140+I149+I151)</f>
        <v>1997.0142799999999</v>
      </c>
      <c r="J139" s="78">
        <f aca="true" t="shared" si="16" ref="J139:J200">SUM(I139/H139)*100</f>
        <v>35.72327245904649</v>
      </c>
    </row>
    <row r="140" spans="1:10" ht="64.5" customHeight="1" outlineLevel="1">
      <c r="A140" s="112" t="s">
        <v>283</v>
      </c>
      <c r="B140" s="18" t="s">
        <v>46</v>
      </c>
      <c r="C140" s="18" t="s">
        <v>70</v>
      </c>
      <c r="D140" s="18" t="s">
        <v>6</v>
      </c>
      <c r="E140" s="54">
        <v>0</v>
      </c>
      <c r="F140" s="31"/>
      <c r="G140" s="52">
        <f>SUM(G141+G144+G147)</f>
        <v>100</v>
      </c>
      <c r="H140" s="78">
        <f>SUM(H141+H144+H147)</f>
        <v>5590.233319999999</v>
      </c>
      <c r="I140" s="78">
        <f>SUM(I141+I144+I147)</f>
        <v>1997.0142799999999</v>
      </c>
      <c r="J140" s="78">
        <f t="shared" si="16"/>
        <v>35.72327245904649</v>
      </c>
    </row>
    <row r="141" spans="1:10" ht="64.5" customHeight="1" outlineLevel="1">
      <c r="A141" s="112" t="s">
        <v>251</v>
      </c>
      <c r="B141" s="18" t="s">
        <v>46</v>
      </c>
      <c r="C141" s="18" t="s">
        <v>70</v>
      </c>
      <c r="D141" s="18" t="s">
        <v>6</v>
      </c>
      <c r="E141" s="54">
        <v>1</v>
      </c>
      <c r="F141" s="31"/>
      <c r="G141" s="52">
        <f>SUM(G142:G143)</f>
        <v>99.75</v>
      </c>
      <c r="H141" s="78">
        <f>SUM(H142:H143)</f>
        <v>5179.75</v>
      </c>
      <c r="I141" s="78">
        <f>SUM(I142:I143)</f>
        <v>1748.0808</v>
      </c>
      <c r="J141" s="78">
        <f t="shared" si="16"/>
        <v>33.748362372701386</v>
      </c>
    </row>
    <row r="142" spans="1:10" ht="33.75" customHeight="1" outlineLevel="1">
      <c r="A142" s="112" t="s">
        <v>119</v>
      </c>
      <c r="B142" s="18" t="s">
        <v>46</v>
      </c>
      <c r="C142" s="18" t="s">
        <v>70</v>
      </c>
      <c r="D142" s="18" t="s">
        <v>6</v>
      </c>
      <c r="E142" s="54">
        <v>1</v>
      </c>
      <c r="F142" s="31">
        <v>200</v>
      </c>
      <c r="G142" s="52">
        <v>-0.25</v>
      </c>
      <c r="H142" s="78">
        <f>410-0.25</f>
        <v>409.75</v>
      </c>
      <c r="I142" s="78">
        <v>158.0808</v>
      </c>
      <c r="J142" s="78">
        <f t="shared" si="16"/>
        <v>38.57981696156193</v>
      </c>
    </row>
    <row r="143" spans="1:10" ht="18.75" customHeight="1" outlineLevel="1">
      <c r="A143" s="112" t="s">
        <v>205</v>
      </c>
      <c r="B143" s="18" t="s">
        <v>46</v>
      </c>
      <c r="C143" s="18" t="s">
        <v>70</v>
      </c>
      <c r="D143" s="18" t="s">
        <v>6</v>
      </c>
      <c r="E143" s="54">
        <v>1</v>
      </c>
      <c r="F143" s="31">
        <v>500</v>
      </c>
      <c r="G143" s="52">
        <v>100</v>
      </c>
      <c r="H143" s="78">
        <f>4985-315+100</f>
        <v>4770</v>
      </c>
      <c r="I143" s="78">
        <v>1590</v>
      </c>
      <c r="J143" s="78">
        <f t="shared" si="16"/>
        <v>33.33333333333333</v>
      </c>
    </row>
    <row r="144" spans="1:10" ht="36.75" customHeight="1" outlineLevel="1">
      <c r="A144" s="112" t="s">
        <v>299</v>
      </c>
      <c r="B144" s="18" t="s">
        <v>46</v>
      </c>
      <c r="C144" s="18" t="s">
        <v>70</v>
      </c>
      <c r="D144" s="18" t="s">
        <v>6</v>
      </c>
      <c r="E144" s="54">
        <v>2</v>
      </c>
      <c r="F144" s="31"/>
      <c r="G144" s="52">
        <f>SUM(G145:G146)</f>
        <v>0.25</v>
      </c>
      <c r="H144" s="78">
        <f>SUM(H145:H146)</f>
        <v>248.95</v>
      </c>
      <c r="I144" s="78">
        <f>SUM(I145:I146)</f>
        <v>248.93348</v>
      </c>
      <c r="J144" s="78">
        <f t="shared" si="16"/>
        <v>99.99336412934325</v>
      </c>
    </row>
    <row r="145" spans="1:10" ht="29.25" customHeight="1" outlineLevel="1">
      <c r="A145" s="112" t="s">
        <v>300</v>
      </c>
      <c r="B145" s="18" t="s">
        <v>46</v>
      </c>
      <c r="C145" s="18" t="s">
        <v>70</v>
      </c>
      <c r="D145" s="18" t="s">
        <v>6</v>
      </c>
      <c r="E145" s="54">
        <v>2</v>
      </c>
      <c r="F145" s="31">
        <v>400</v>
      </c>
      <c r="G145" s="52"/>
      <c r="H145" s="78">
        <v>248.7</v>
      </c>
      <c r="I145" s="78">
        <v>248.68348</v>
      </c>
      <c r="J145" s="78">
        <f t="shared" si="16"/>
        <v>99.9933574587857</v>
      </c>
    </row>
    <row r="146" spans="1:10" ht="29.25" customHeight="1" outlineLevel="1">
      <c r="A146" s="112" t="s">
        <v>119</v>
      </c>
      <c r="B146" s="18" t="s">
        <v>46</v>
      </c>
      <c r="C146" s="18" t="s">
        <v>70</v>
      </c>
      <c r="D146" s="18" t="s">
        <v>6</v>
      </c>
      <c r="E146" s="54">
        <v>2</v>
      </c>
      <c r="F146" s="31">
        <v>400</v>
      </c>
      <c r="G146" s="52">
        <v>0.25</v>
      </c>
      <c r="H146" s="78">
        <f>0.25</f>
        <v>0.25</v>
      </c>
      <c r="I146" s="78">
        <v>0.25</v>
      </c>
      <c r="J146" s="78">
        <f t="shared" si="16"/>
        <v>100</v>
      </c>
    </row>
    <row r="147" spans="1:10" ht="52.5" customHeight="1" outlineLevel="1">
      <c r="A147" s="112" t="s">
        <v>305</v>
      </c>
      <c r="B147" s="18" t="s">
        <v>46</v>
      </c>
      <c r="C147" s="18" t="s">
        <v>70</v>
      </c>
      <c r="D147" s="18" t="s">
        <v>6</v>
      </c>
      <c r="E147" s="54">
        <v>3</v>
      </c>
      <c r="F147" s="31"/>
      <c r="G147" s="52">
        <f>SUM(G148)</f>
        <v>0</v>
      </c>
      <c r="H147" s="78">
        <f>SUM(H148)</f>
        <v>161.53332</v>
      </c>
      <c r="I147" s="78">
        <f>SUM(I148)</f>
        <v>0</v>
      </c>
      <c r="J147" s="78">
        <f t="shared" si="16"/>
        <v>0</v>
      </c>
    </row>
    <row r="148" spans="1:10" ht="38.25" customHeight="1" outlineLevel="1">
      <c r="A148" s="112" t="s">
        <v>303</v>
      </c>
      <c r="B148" s="18" t="s">
        <v>46</v>
      </c>
      <c r="C148" s="18" t="s">
        <v>70</v>
      </c>
      <c r="D148" s="18" t="s">
        <v>6</v>
      </c>
      <c r="E148" s="54">
        <v>3</v>
      </c>
      <c r="F148" s="31">
        <v>200</v>
      </c>
      <c r="G148" s="52"/>
      <c r="H148" s="78">
        <f>161.53332</f>
        <v>161.53332</v>
      </c>
      <c r="I148" s="78">
        <v>0</v>
      </c>
      <c r="J148" s="78">
        <f t="shared" si="16"/>
        <v>0</v>
      </c>
    </row>
    <row r="149" spans="1:10" ht="48.75" customHeight="1" outlineLevel="2">
      <c r="A149" s="112" t="s">
        <v>294</v>
      </c>
      <c r="B149" s="18" t="s">
        <v>46</v>
      </c>
      <c r="C149" s="18" t="s">
        <v>70</v>
      </c>
      <c r="D149" s="18" t="s">
        <v>252</v>
      </c>
      <c r="E149" s="54">
        <v>0</v>
      </c>
      <c r="F149" s="31"/>
      <c r="G149" s="52">
        <f>SUM(G150)</f>
        <v>0</v>
      </c>
      <c r="H149" s="78">
        <f>SUM(H150)</f>
        <v>0</v>
      </c>
      <c r="I149" s="78">
        <f>SUM(I150)</f>
        <v>0</v>
      </c>
      <c r="J149" s="78">
        <v>0</v>
      </c>
    </row>
    <row r="150" spans="1:10" ht="30.75" customHeight="1" outlineLevel="5">
      <c r="A150" s="112" t="s">
        <v>208</v>
      </c>
      <c r="B150" s="18" t="s">
        <v>46</v>
      </c>
      <c r="C150" s="18" t="s">
        <v>70</v>
      </c>
      <c r="D150" s="18" t="s">
        <v>252</v>
      </c>
      <c r="E150" s="54">
        <v>0</v>
      </c>
      <c r="F150" s="31">
        <v>400</v>
      </c>
      <c r="G150" s="52"/>
      <c r="H150" s="78">
        <v>0</v>
      </c>
      <c r="I150" s="78">
        <v>0</v>
      </c>
      <c r="J150" s="78">
        <v>0</v>
      </c>
    </row>
    <row r="151" spans="1:10" ht="80.25" customHeight="1" outlineLevel="2">
      <c r="A151" s="112" t="s">
        <v>67</v>
      </c>
      <c r="B151" s="18" t="s">
        <v>46</v>
      </c>
      <c r="C151" s="18" t="s">
        <v>70</v>
      </c>
      <c r="D151" s="18"/>
      <c r="E151" s="54"/>
      <c r="F151" s="31"/>
      <c r="G151" s="52">
        <f aca="true" t="shared" si="17" ref="G151:I152">SUM(G152)</f>
        <v>0</v>
      </c>
      <c r="H151" s="78">
        <f t="shared" si="17"/>
        <v>0</v>
      </c>
      <c r="I151" s="78">
        <f t="shared" si="17"/>
        <v>0</v>
      </c>
      <c r="J151" s="78">
        <v>0</v>
      </c>
    </row>
    <row r="152" spans="1:10" ht="47.25" outlineLevel="2">
      <c r="A152" s="112" t="s">
        <v>202</v>
      </c>
      <c r="B152" s="18" t="s">
        <v>46</v>
      </c>
      <c r="C152" s="18" t="s">
        <v>70</v>
      </c>
      <c r="D152" s="18" t="s">
        <v>17</v>
      </c>
      <c r="E152" s="54">
        <v>0</v>
      </c>
      <c r="F152" s="31"/>
      <c r="G152" s="52">
        <f t="shared" si="17"/>
        <v>0</v>
      </c>
      <c r="H152" s="78">
        <f t="shared" si="17"/>
        <v>0</v>
      </c>
      <c r="I152" s="78">
        <f t="shared" si="17"/>
        <v>0</v>
      </c>
      <c r="J152" s="78">
        <v>0</v>
      </c>
    </row>
    <row r="153" spans="1:10" ht="15.75" outlineLevel="2">
      <c r="A153" s="112" t="s">
        <v>175</v>
      </c>
      <c r="B153" s="18" t="s">
        <v>46</v>
      </c>
      <c r="C153" s="18" t="s">
        <v>70</v>
      </c>
      <c r="D153" s="18" t="s">
        <v>17</v>
      </c>
      <c r="E153" s="54">
        <v>0</v>
      </c>
      <c r="F153" s="31">
        <v>800</v>
      </c>
      <c r="G153" s="52"/>
      <c r="H153" s="78">
        <v>0</v>
      </c>
      <c r="I153" s="78">
        <v>0</v>
      </c>
      <c r="J153" s="78">
        <v>0</v>
      </c>
    </row>
    <row r="154" spans="1:10" ht="15.75" outlineLevel="5">
      <c r="A154" s="112" t="s">
        <v>71</v>
      </c>
      <c r="B154" s="18" t="s">
        <v>46</v>
      </c>
      <c r="C154" s="18" t="s">
        <v>136</v>
      </c>
      <c r="D154" s="18"/>
      <c r="E154" s="54"/>
      <c r="F154" s="31"/>
      <c r="G154" s="52">
        <f>SUM(G156)</f>
        <v>0</v>
      </c>
      <c r="H154" s="78">
        <f>SUM(H156)</f>
        <v>50</v>
      </c>
      <c r="I154" s="78">
        <f>SUM(I156)</f>
        <v>0</v>
      </c>
      <c r="J154" s="78">
        <f t="shared" si="16"/>
        <v>0</v>
      </c>
    </row>
    <row r="155" spans="1:10" ht="53.25" customHeight="1" outlineLevel="5">
      <c r="A155" s="112" t="s">
        <v>240</v>
      </c>
      <c r="B155" s="18" t="s">
        <v>46</v>
      </c>
      <c r="C155" s="18" t="s">
        <v>74</v>
      </c>
      <c r="D155" s="18" t="s">
        <v>16</v>
      </c>
      <c r="E155" s="54">
        <v>0</v>
      </c>
      <c r="F155" s="31"/>
      <c r="G155" s="52">
        <f>SUM(G156)</f>
        <v>0</v>
      </c>
      <c r="H155" s="78">
        <f>SUM(H156)</f>
        <v>50</v>
      </c>
      <c r="I155" s="78">
        <f>SUM(I156)</f>
        <v>0</v>
      </c>
      <c r="J155" s="78">
        <f t="shared" si="16"/>
        <v>0</v>
      </c>
    </row>
    <row r="156" spans="1:10" ht="36" customHeight="1" outlineLevel="5">
      <c r="A156" s="112" t="s">
        <v>119</v>
      </c>
      <c r="B156" s="18" t="s">
        <v>46</v>
      </c>
      <c r="C156" s="18" t="s">
        <v>74</v>
      </c>
      <c r="D156" s="18" t="s">
        <v>16</v>
      </c>
      <c r="E156" s="54">
        <v>0</v>
      </c>
      <c r="F156" s="31">
        <v>200</v>
      </c>
      <c r="G156" s="52"/>
      <c r="H156" s="78">
        <v>50</v>
      </c>
      <c r="I156" s="78">
        <v>0</v>
      </c>
      <c r="J156" s="78">
        <f t="shared" si="16"/>
        <v>0</v>
      </c>
    </row>
    <row r="157" spans="1:10" ht="15.75" outlineLevel="5">
      <c r="A157" s="112" t="s">
        <v>75</v>
      </c>
      <c r="B157" s="18" t="s">
        <v>46</v>
      </c>
      <c r="C157" s="18" t="s">
        <v>78</v>
      </c>
      <c r="D157" s="18"/>
      <c r="E157" s="54"/>
      <c r="F157" s="31"/>
      <c r="G157" s="52">
        <f>SUM(G158+G171+G209+G228)</f>
        <v>4277.8730000000005</v>
      </c>
      <c r="H157" s="78">
        <f>SUM(H158+H171+H209+H228)</f>
        <v>160893.272</v>
      </c>
      <c r="I157" s="78">
        <f>SUM(I158+I171+I209+I228)</f>
        <v>93075.89220000002</v>
      </c>
      <c r="J157" s="78">
        <f t="shared" si="16"/>
        <v>57.84946197128741</v>
      </c>
    </row>
    <row r="158" spans="1:10" ht="15.75" outlineLevel="5">
      <c r="A158" s="112" t="s">
        <v>76</v>
      </c>
      <c r="B158" s="18" t="s">
        <v>46</v>
      </c>
      <c r="C158" s="18" t="s">
        <v>77</v>
      </c>
      <c r="D158" s="18"/>
      <c r="E158" s="54"/>
      <c r="F158" s="31"/>
      <c r="G158" s="52">
        <f>SUM(G159+G166+G164)</f>
        <v>1387.564</v>
      </c>
      <c r="H158" s="78">
        <f>SUM(H159+H166+H164)</f>
        <v>26838.063999999995</v>
      </c>
      <c r="I158" s="78">
        <f>SUM(I159+I166)</f>
        <v>14766.145910000001</v>
      </c>
      <c r="J158" s="78">
        <f t="shared" si="16"/>
        <v>55.01941537213714</v>
      </c>
    </row>
    <row r="159" spans="1:10" ht="64.5" customHeight="1" outlineLevel="5">
      <c r="A159" s="112" t="s">
        <v>283</v>
      </c>
      <c r="B159" s="18" t="s">
        <v>46</v>
      </c>
      <c r="C159" s="18" t="s">
        <v>77</v>
      </c>
      <c r="D159" s="18" t="s">
        <v>6</v>
      </c>
      <c r="E159" s="54">
        <v>0</v>
      </c>
      <c r="F159" s="31"/>
      <c r="G159" s="52">
        <f>SUM(G160+G162)</f>
        <v>929.6</v>
      </c>
      <c r="H159" s="78">
        <f>SUM(H160+H162)</f>
        <v>1369.6</v>
      </c>
      <c r="I159" s="78">
        <f>SUM(I160+I162)</f>
        <v>154.563</v>
      </c>
      <c r="J159" s="78">
        <f t="shared" si="16"/>
        <v>11.285265771028037</v>
      </c>
    </row>
    <row r="160" spans="1:10" ht="48" customHeight="1" outlineLevel="5">
      <c r="A160" s="112" t="s">
        <v>308</v>
      </c>
      <c r="B160" s="18" t="s">
        <v>46</v>
      </c>
      <c r="C160" s="18" t="s">
        <v>77</v>
      </c>
      <c r="D160" s="18" t="s">
        <v>6</v>
      </c>
      <c r="E160" s="54">
        <v>3</v>
      </c>
      <c r="F160" s="31"/>
      <c r="G160" s="52">
        <f>SUM(G161:G161)</f>
        <v>929.6</v>
      </c>
      <c r="H160" s="78">
        <f>SUM(H161:H161)</f>
        <v>929.6</v>
      </c>
      <c r="I160" s="78">
        <f>SUM(I161:I161)</f>
        <v>0</v>
      </c>
      <c r="J160" s="78">
        <f t="shared" si="16"/>
        <v>0</v>
      </c>
    </row>
    <row r="161" spans="1:10" ht="39.75" customHeight="1" outlineLevel="5">
      <c r="A161" s="112" t="s">
        <v>203</v>
      </c>
      <c r="B161" s="18" t="s">
        <v>46</v>
      </c>
      <c r="C161" s="18" t="s">
        <v>77</v>
      </c>
      <c r="D161" s="18" t="s">
        <v>6</v>
      </c>
      <c r="E161" s="54">
        <v>3</v>
      </c>
      <c r="F161" s="31">
        <v>600</v>
      </c>
      <c r="G161" s="52">
        <f>868.5+61.1</f>
        <v>929.6</v>
      </c>
      <c r="H161" s="78">
        <v>929.6</v>
      </c>
      <c r="I161" s="78">
        <v>0</v>
      </c>
      <c r="J161" s="78">
        <f t="shared" si="16"/>
        <v>0</v>
      </c>
    </row>
    <row r="162" spans="1:10" ht="47.25" outlineLevel="5">
      <c r="A162" s="112" t="s">
        <v>254</v>
      </c>
      <c r="B162" s="18" t="s">
        <v>46</v>
      </c>
      <c r="C162" s="18" t="s">
        <v>77</v>
      </c>
      <c r="D162" s="18" t="s">
        <v>6</v>
      </c>
      <c r="E162" s="54">
        <v>4</v>
      </c>
      <c r="F162" s="31"/>
      <c r="G162" s="52">
        <f>SUM(G163:G163)</f>
        <v>0</v>
      </c>
      <c r="H162" s="78">
        <f>SUM(H163:H163)</f>
        <v>440</v>
      </c>
      <c r="I162" s="78">
        <f>SUM(I163:I163)</f>
        <v>154.563</v>
      </c>
      <c r="J162" s="78">
        <f t="shared" si="16"/>
        <v>35.12795454545454</v>
      </c>
    </row>
    <row r="163" spans="1:10" ht="34.5" customHeight="1" outlineLevel="5">
      <c r="A163" s="112" t="s">
        <v>203</v>
      </c>
      <c r="B163" s="18" t="s">
        <v>46</v>
      </c>
      <c r="C163" s="18" t="s">
        <v>77</v>
      </c>
      <c r="D163" s="18" t="s">
        <v>6</v>
      </c>
      <c r="E163" s="54">
        <v>4</v>
      </c>
      <c r="F163" s="31">
        <v>600</v>
      </c>
      <c r="G163" s="52"/>
      <c r="H163" s="78">
        <v>440</v>
      </c>
      <c r="I163" s="78">
        <v>154.563</v>
      </c>
      <c r="J163" s="78">
        <f t="shared" si="16"/>
        <v>35.12795454545454</v>
      </c>
    </row>
    <row r="164" spans="1:10" ht="141.75" customHeight="1" outlineLevel="5">
      <c r="A164" s="112" t="s">
        <v>309</v>
      </c>
      <c r="B164" s="18" t="s">
        <v>46</v>
      </c>
      <c r="C164" s="18" t="s">
        <v>77</v>
      </c>
      <c r="D164" s="18" t="s">
        <v>310</v>
      </c>
      <c r="E164" s="54">
        <v>0</v>
      </c>
      <c r="F164" s="31"/>
      <c r="G164" s="52">
        <f>SUM(G165:G165)</f>
        <v>48.664</v>
      </c>
      <c r="H164" s="78">
        <f>SUM(H165:H165)</f>
        <v>48.664</v>
      </c>
      <c r="I164" s="78">
        <f>SUM(I165:I165)</f>
        <v>0</v>
      </c>
      <c r="J164" s="78">
        <f t="shared" si="16"/>
        <v>0</v>
      </c>
    </row>
    <row r="165" spans="1:10" ht="34.5" customHeight="1" outlineLevel="5">
      <c r="A165" s="112" t="s">
        <v>203</v>
      </c>
      <c r="B165" s="18" t="s">
        <v>46</v>
      </c>
      <c r="C165" s="18" t="s">
        <v>77</v>
      </c>
      <c r="D165" s="18" t="s">
        <v>310</v>
      </c>
      <c r="E165" s="54">
        <v>0</v>
      </c>
      <c r="F165" s="31">
        <v>600</v>
      </c>
      <c r="G165" s="52">
        <v>48.664</v>
      </c>
      <c r="H165" s="78">
        <v>48.664</v>
      </c>
      <c r="I165" s="78">
        <v>0</v>
      </c>
      <c r="J165" s="78">
        <f t="shared" si="16"/>
        <v>0</v>
      </c>
    </row>
    <row r="166" spans="1:10" ht="64.5" customHeight="1" outlineLevel="1">
      <c r="A166" s="112" t="s">
        <v>245</v>
      </c>
      <c r="B166" s="18" t="s">
        <v>46</v>
      </c>
      <c r="C166" s="18" t="s">
        <v>77</v>
      </c>
      <c r="D166" s="18" t="s">
        <v>22</v>
      </c>
      <c r="E166" s="54">
        <v>0</v>
      </c>
      <c r="F166" s="31"/>
      <c r="G166" s="52">
        <f>SUM(G167:G170)</f>
        <v>409.3</v>
      </c>
      <c r="H166" s="78">
        <f>SUM(H167:H170)</f>
        <v>25419.799999999996</v>
      </c>
      <c r="I166" s="78">
        <f>SUM(I167:I170)</f>
        <v>14611.582910000001</v>
      </c>
      <c r="J166" s="78">
        <f t="shared" si="16"/>
        <v>57.48110886002251</v>
      </c>
    </row>
    <row r="167" spans="1:10" ht="39" customHeight="1" outlineLevel="2">
      <c r="A167" s="112" t="s">
        <v>203</v>
      </c>
      <c r="B167" s="18" t="s">
        <v>46</v>
      </c>
      <c r="C167" s="18" t="s">
        <v>77</v>
      </c>
      <c r="D167" s="18" t="s">
        <v>22</v>
      </c>
      <c r="E167" s="54">
        <v>0</v>
      </c>
      <c r="F167" s="31">
        <v>600</v>
      </c>
      <c r="G167" s="52">
        <f>417</f>
        <v>417</v>
      </c>
      <c r="H167" s="78">
        <f>10350+417</f>
        <v>10767</v>
      </c>
      <c r="I167" s="78">
        <v>6415.99964</v>
      </c>
      <c r="J167" s="78">
        <f t="shared" si="16"/>
        <v>59.589483050060366</v>
      </c>
    </row>
    <row r="168" spans="1:10" ht="63" outlineLevel="3">
      <c r="A168" s="112" t="s">
        <v>180</v>
      </c>
      <c r="B168" s="18" t="s">
        <v>46</v>
      </c>
      <c r="C168" s="18" t="s">
        <v>77</v>
      </c>
      <c r="D168" s="18" t="s">
        <v>22</v>
      </c>
      <c r="E168" s="54">
        <v>0</v>
      </c>
      <c r="F168" s="31">
        <v>600</v>
      </c>
      <c r="G168" s="52">
        <v>-7.7</v>
      </c>
      <c r="H168" s="78">
        <f>14645.9-132-7.7</f>
        <v>14506.199999999999</v>
      </c>
      <c r="I168" s="78">
        <f>8190.03182-132</f>
        <v>8058.03182</v>
      </c>
      <c r="J168" s="78">
        <f t="shared" si="16"/>
        <v>55.54888130592437</v>
      </c>
    </row>
    <row r="169" spans="1:10" ht="66" customHeight="1" outlineLevel="3">
      <c r="A169" s="112" t="s">
        <v>296</v>
      </c>
      <c r="B169" s="18" t="s">
        <v>46</v>
      </c>
      <c r="C169" s="18" t="s">
        <v>77</v>
      </c>
      <c r="D169" s="18" t="s">
        <v>22</v>
      </c>
      <c r="E169" s="54">
        <v>0</v>
      </c>
      <c r="F169" s="31">
        <v>600</v>
      </c>
      <c r="G169" s="52"/>
      <c r="H169" s="78">
        <v>132</v>
      </c>
      <c r="I169" s="78">
        <v>132</v>
      </c>
      <c r="J169" s="78">
        <f t="shared" si="16"/>
        <v>100</v>
      </c>
    </row>
    <row r="170" spans="1:10" ht="36.75" customHeight="1">
      <c r="A170" s="112" t="s">
        <v>209</v>
      </c>
      <c r="B170" s="18" t="s">
        <v>46</v>
      </c>
      <c r="C170" s="18" t="s">
        <v>77</v>
      </c>
      <c r="D170" s="18" t="s">
        <v>22</v>
      </c>
      <c r="E170" s="54">
        <v>0</v>
      </c>
      <c r="F170" s="31">
        <v>600</v>
      </c>
      <c r="G170" s="52"/>
      <c r="H170" s="78">
        <f>14.6</f>
        <v>14.6</v>
      </c>
      <c r="I170" s="78">
        <v>5.55145</v>
      </c>
      <c r="J170" s="78">
        <f t="shared" si="16"/>
        <v>38.023630136986306</v>
      </c>
    </row>
    <row r="171" spans="1:10" ht="15.75" outlineLevel="5">
      <c r="A171" s="112" t="s">
        <v>85</v>
      </c>
      <c r="B171" s="18" t="s">
        <v>46</v>
      </c>
      <c r="C171" s="18" t="s">
        <v>79</v>
      </c>
      <c r="D171" s="18"/>
      <c r="E171" s="54"/>
      <c r="F171" s="31"/>
      <c r="G171" s="128">
        <f>SUM(G172+G203)</f>
        <v>2516.236</v>
      </c>
      <c r="H171" s="131">
        <f>SUM(H172+H203)</f>
        <v>127094.935</v>
      </c>
      <c r="I171" s="131">
        <f>SUM(I172+I203)</f>
        <v>74747.65303000002</v>
      </c>
      <c r="J171" s="78">
        <f t="shared" si="16"/>
        <v>58.81245623989659</v>
      </c>
    </row>
    <row r="172" spans="1:10" ht="31.5" outlineLevel="5">
      <c r="A172" s="112" t="s">
        <v>80</v>
      </c>
      <c r="B172" s="18" t="s">
        <v>46</v>
      </c>
      <c r="C172" s="18" t="s">
        <v>79</v>
      </c>
      <c r="D172" s="18"/>
      <c r="E172" s="54"/>
      <c r="F172" s="31"/>
      <c r="G172" s="52">
        <f>SUM(G173+G179+G187+G185+G181)</f>
        <v>2516.236</v>
      </c>
      <c r="H172" s="78">
        <f>SUM(H173+H179+H187+H185+H181)</f>
        <v>119828.436</v>
      </c>
      <c r="I172" s="78">
        <f>SUM(I173+I179+I187)</f>
        <v>70123.57212000001</v>
      </c>
      <c r="J172" s="78">
        <f t="shared" si="16"/>
        <v>58.51997610984425</v>
      </c>
    </row>
    <row r="173" spans="1:10" ht="65.25" customHeight="1" outlineLevel="5">
      <c r="A173" s="112" t="s">
        <v>283</v>
      </c>
      <c r="B173" s="18" t="s">
        <v>46</v>
      </c>
      <c r="C173" s="18" t="s">
        <v>79</v>
      </c>
      <c r="D173" s="18" t="s">
        <v>6</v>
      </c>
      <c r="E173" s="54">
        <v>0</v>
      </c>
      <c r="F173" s="31"/>
      <c r="G173" s="52">
        <f>SUM(G174+G176)</f>
        <v>50</v>
      </c>
      <c r="H173" s="78">
        <f>SUM(H174+H176)</f>
        <v>1010</v>
      </c>
      <c r="I173" s="78">
        <f>SUM(I174+I176)</f>
        <v>324.589</v>
      </c>
      <c r="J173" s="78">
        <f t="shared" si="16"/>
        <v>32.13752475247525</v>
      </c>
    </row>
    <row r="174" spans="1:10" ht="47.25" customHeight="1" outlineLevel="5">
      <c r="A174" s="112" t="s">
        <v>308</v>
      </c>
      <c r="B174" s="18" t="s">
        <v>46</v>
      </c>
      <c r="C174" s="18" t="s">
        <v>79</v>
      </c>
      <c r="D174" s="18" t="s">
        <v>6</v>
      </c>
      <c r="E174" s="54">
        <v>3</v>
      </c>
      <c r="F174" s="31"/>
      <c r="G174" s="52">
        <f>SUM(G175:G175)</f>
        <v>50</v>
      </c>
      <c r="H174" s="78">
        <f>SUM(H175:H175)</f>
        <v>50</v>
      </c>
      <c r="I174" s="78">
        <f>SUM(I175:I175)</f>
        <v>0</v>
      </c>
      <c r="J174" s="78">
        <f t="shared" si="16"/>
        <v>0</v>
      </c>
    </row>
    <row r="175" spans="1:10" ht="42.75" customHeight="1" outlineLevel="5">
      <c r="A175" s="112" t="s">
        <v>203</v>
      </c>
      <c r="B175" s="18" t="s">
        <v>46</v>
      </c>
      <c r="C175" s="18" t="s">
        <v>79</v>
      </c>
      <c r="D175" s="18" t="s">
        <v>6</v>
      </c>
      <c r="E175" s="54">
        <v>3</v>
      </c>
      <c r="F175" s="31">
        <v>600</v>
      </c>
      <c r="G175" s="52">
        <v>50</v>
      </c>
      <c r="H175" s="78">
        <v>50</v>
      </c>
      <c r="I175" s="78">
        <v>0</v>
      </c>
      <c r="J175" s="78">
        <f t="shared" si="16"/>
        <v>0</v>
      </c>
    </row>
    <row r="176" spans="1:10" ht="47.25" outlineLevel="5">
      <c r="A176" s="112" t="s">
        <v>254</v>
      </c>
      <c r="B176" s="18" t="s">
        <v>46</v>
      </c>
      <c r="C176" s="18" t="s">
        <v>79</v>
      </c>
      <c r="D176" s="18" t="s">
        <v>6</v>
      </c>
      <c r="E176" s="54">
        <v>4</v>
      </c>
      <c r="F176" s="31"/>
      <c r="G176" s="52">
        <f>SUM(G177:G178)</f>
        <v>0</v>
      </c>
      <c r="H176" s="78">
        <f>SUM(H177:H178)</f>
        <v>960</v>
      </c>
      <c r="I176" s="78">
        <f>SUM(I177:I178)</f>
        <v>324.589</v>
      </c>
      <c r="J176" s="78">
        <f t="shared" si="16"/>
        <v>33.81135416666667</v>
      </c>
    </row>
    <row r="177" spans="1:10" ht="31.5" outlineLevel="5">
      <c r="A177" s="112" t="s">
        <v>119</v>
      </c>
      <c r="B177" s="18" t="s">
        <v>46</v>
      </c>
      <c r="C177" s="18" t="s">
        <v>79</v>
      </c>
      <c r="D177" s="18" t="s">
        <v>6</v>
      </c>
      <c r="E177" s="54">
        <v>4</v>
      </c>
      <c r="F177" s="31">
        <v>200</v>
      </c>
      <c r="G177" s="52">
        <v>-23</v>
      </c>
      <c r="H177" s="78">
        <f>140-23</f>
        <v>117</v>
      </c>
      <c r="I177" s="78">
        <v>23.285</v>
      </c>
      <c r="J177" s="78">
        <f t="shared" si="16"/>
        <v>19.901709401709404</v>
      </c>
    </row>
    <row r="178" spans="1:10" ht="34.5" customHeight="1" outlineLevel="5">
      <c r="A178" s="112" t="s">
        <v>203</v>
      </c>
      <c r="B178" s="18" t="s">
        <v>46</v>
      </c>
      <c r="C178" s="18" t="s">
        <v>79</v>
      </c>
      <c r="D178" s="18" t="s">
        <v>6</v>
      </c>
      <c r="E178" s="54">
        <v>4</v>
      </c>
      <c r="F178" s="31">
        <v>600</v>
      </c>
      <c r="G178" s="52">
        <v>23</v>
      </c>
      <c r="H178" s="78">
        <f>820+23</f>
        <v>843</v>
      </c>
      <c r="I178" s="78">
        <v>301.304</v>
      </c>
      <c r="J178" s="78">
        <f t="shared" si="16"/>
        <v>35.741874258600234</v>
      </c>
    </row>
    <row r="179" spans="1:10" ht="66.75" customHeight="1" outlineLevel="5">
      <c r="A179" s="112" t="s">
        <v>280</v>
      </c>
      <c r="B179" s="18" t="s">
        <v>46</v>
      </c>
      <c r="C179" s="18" t="s">
        <v>79</v>
      </c>
      <c r="D179" s="18" t="s">
        <v>20</v>
      </c>
      <c r="E179" s="54">
        <v>0</v>
      </c>
      <c r="F179" s="31"/>
      <c r="G179" s="52">
        <f>SUM(G180)</f>
        <v>0</v>
      </c>
      <c r="H179" s="78">
        <f>SUM(H180)</f>
        <v>100</v>
      </c>
      <c r="I179" s="78">
        <f>SUM(I180)</f>
        <v>0</v>
      </c>
      <c r="J179" s="78">
        <f t="shared" si="16"/>
        <v>0</v>
      </c>
    </row>
    <row r="180" spans="1:10" ht="37.5" customHeight="1" outlineLevel="5">
      <c r="A180" s="112" t="s">
        <v>203</v>
      </c>
      <c r="B180" s="18" t="s">
        <v>46</v>
      </c>
      <c r="C180" s="18" t="s">
        <v>79</v>
      </c>
      <c r="D180" s="18" t="s">
        <v>20</v>
      </c>
      <c r="E180" s="54">
        <v>0</v>
      </c>
      <c r="F180" s="31">
        <v>600</v>
      </c>
      <c r="G180" s="52"/>
      <c r="H180" s="78">
        <v>100</v>
      </c>
      <c r="I180" s="78">
        <v>0</v>
      </c>
      <c r="J180" s="78">
        <f t="shared" si="16"/>
        <v>0</v>
      </c>
    </row>
    <row r="181" spans="1:10" ht="44.25" customHeight="1" outlineLevel="5">
      <c r="A181" s="112" t="s">
        <v>197</v>
      </c>
      <c r="B181" s="18" t="s">
        <v>46</v>
      </c>
      <c r="C181" s="18" t="s">
        <v>79</v>
      </c>
      <c r="D181" s="18" t="s">
        <v>21</v>
      </c>
      <c r="E181" s="54">
        <v>0</v>
      </c>
      <c r="F181" s="31"/>
      <c r="G181" s="52">
        <f>SUM(G182:G184)</f>
        <v>1731.5</v>
      </c>
      <c r="H181" s="78">
        <f>SUM(H182:H184)</f>
        <v>1731.5</v>
      </c>
      <c r="I181" s="78">
        <f>SUM(I182:I184)</f>
        <v>0</v>
      </c>
      <c r="J181" s="78">
        <f t="shared" si="16"/>
        <v>0</v>
      </c>
    </row>
    <row r="182" spans="1:10" ht="47.25" customHeight="1" outlineLevel="5">
      <c r="A182" s="112" t="s">
        <v>318</v>
      </c>
      <c r="B182" s="18" t="s">
        <v>46</v>
      </c>
      <c r="C182" s="18" t="s">
        <v>79</v>
      </c>
      <c r="D182" s="18" t="s">
        <v>21</v>
      </c>
      <c r="E182" s="54">
        <v>0</v>
      </c>
      <c r="F182" s="31">
        <v>600</v>
      </c>
      <c r="G182" s="52">
        <v>165</v>
      </c>
      <c r="H182" s="78">
        <v>165</v>
      </c>
      <c r="I182" s="78">
        <v>0</v>
      </c>
      <c r="J182" s="78">
        <f t="shared" si="16"/>
        <v>0</v>
      </c>
    </row>
    <row r="183" spans="1:10" ht="45" customHeight="1" outlineLevel="5">
      <c r="A183" s="112" t="s">
        <v>319</v>
      </c>
      <c r="B183" s="18" t="s">
        <v>46</v>
      </c>
      <c r="C183" s="18" t="s">
        <v>79</v>
      </c>
      <c r="D183" s="18" t="s">
        <v>21</v>
      </c>
      <c r="E183" s="54">
        <v>0</v>
      </c>
      <c r="F183" s="31">
        <v>600</v>
      </c>
      <c r="G183" s="52">
        <v>166.7</v>
      </c>
      <c r="H183" s="78">
        <v>166.7</v>
      </c>
      <c r="I183" s="78">
        <v>0</v>
      </c>
      <c r="J183" s="78">
        <f t="shared" si="16"/>
        <v>0</v>
      </c>
    </row>
    <row r="184" spans="1:10" ht="45" customHeight="1" outlineLevel="5">
      <c r="A184" s="112" t="s">
        <v>320</v>
      </c>
      <c r="B184" s="18" t="s">
        <v>46</v>
      </c>
      <c r="C184" s="18" t="s">
        <v>79</v>
      </c>
      <c r="D184" s="18" t="s">
        <v>21</v>
      </c>
      <c r="E184" s="54">
        <v>0</v>
      </c>
      <c r="F184" s="31">
        <v>600</v>
      </c>
      <c r="G184" s="52">
        <v>1399.8</v>
      </c>
      <c r="H184" s="78">
        <v>1399.8</v>
      </c>
      <c r="I184" s="78">
        <v>0</v>
      </c>
      <c r="J184" s="78">
        <f t="shared" si="16"/>
        <v>0</v>
      </c>
    </row>
    <row r="185" spans="1:10" ht="144.75" customHeight="1" outlineLevel="5">
      <c r="A185" s="112" t="s">
        <v>309</v>
      </c>
      <c r="B185" s="18" t="s">
        <v>46</v>
      </c>
      <c r="C185" s="18" t="s">
        <v>79</v>
      </c>
      <c r="D185" s="18" t="s">
        <v>310</v>
      </c>
      <c r="E185" s="54">
        <v>0</v>
      </c>
      <c r="F185" s="31"/>
      <c r="G185" s="52">
        <f>SUM(G186:G186)</f>
        <v>151.736</v>
      </c>
      <c r="H185" s="78">
        <f>SUM(H186:H186)</f>
        <v>151.736</v>
      </c>
      <c r="I185" s="78">
        <f>SUM(I186:I186)</f>
        <v>0</v>
      </c>
      <c r="J185" s="78">
        <f t="shared" si="16"/>
        <v>0</v>
      </c>
    </row>
    <row r="186" spans="1:10" ht="45.75" customHeight="1" outlineLevel="5">
      <c r="A186" s="112" t="s">
        <v>203</v>
      </c>
      <c r="B186" s="18" t="s">
        <v>46</v>
      </c>
      <c r="C186" s="18" t="s">
        <v>79</v>
      </c>
      <c r="D186" s="18" t="s">
        <v>310</v>
      </c>
      <c r="E186" s="54">
        <v>0</v>
      </c>
      <c r="F186" s="31">
        <v>600</v>
      </c>
      <c r="G186" s="52">
        <v>151.736</v>
      </c>
      <c r="H186" s="78">
        <v>151.736</v>
      </c>
      <c r="I186" s="78">
        <v>0</v>
      </c>
      <c r="J186" s="78">
        <f t="shared" si="16"/>
        <v>0</v>
      </c>
    </row>
    <row r="187" spans="1:10" ht="54" customHeight="1" outlineLevel="5">
      <c r="A187" s="112" t="s">
        <v>176</v>
      </c>
      <c r="B187" s="18" t="s">
        <v>46</v>
      </c>
      <c r="C187" s="18" t="s">
        <v>79</v>
      </c>
      <c r="D187" s="18" t="s">
        <v>23</v>
      </c>
      <c r="E187" s="54">
        <v>0</v>
      </c>
      <c r="F187" s="129"/>
      <c r="G187" s="128">
        <f>SUM(G188+G193)</f>
        <v>583</v>
      </c>
      <c r="H187" s="131">
        <f>SUM(H188+H193)</f>
        <v>116835.2</v>
      </c>
      <c r="I187" s="131">
        <f>SUM(I188+I193)</f>
        <v>69798.98312</v>
      </c>
      <c r="J187" s="78">
        <f t="shared" si="16"/>
        <v>59.7413990989017</v>
      </c>
    </row>
    <row r="188" spans="1:10" ht="27" customHeight="1" outlineLevel="5">
      <c r="A188" s="112" t="s">
        <v>84</v>
      </c>
      <c r="B188" s="18" t="s">
        <v>46</v>
      </c>
      <c r="C188" s="18" t="s">
        <v>79</v>
      </c>
      <c r="D188" s="18" t="s">
        <v>23</v>
      </c>
      <c r="E188" s="54">
        <v>0</v>
      </c>
      <c r="F188" s="31"/>
      <c r="G188" s="52">
        <f>SUM(G189:G192)</f>
        <v>583</v>
      </c>
      <c r="H188" s="78">
        <f>SUM(H189:H192)</f>
        <v>12278.800000000001</v>
      </c>
      <c r="I188" s="78">
        <f>SUM(I189:I192)</f>
        <v>8540.47871</v>
      </c>
      <c r="J188" s="78">
        <f t="shared" si="16"/>
        <v>69.55466910447274</v>
      </c>
    </row>
    <row r="189" spans="1:10" ht="81.75" customHeight="1" outlineLevel="5">
      <c r="A189" s="112" t="s">
        <v>118</v>
      </c>
      <c r="B189" s="18" t="s">
        <v>46</v>
      </c>
      <c r="C189" s="18" t="s">
        <v>79</v>
      </c>
      <c r="D189" s="18" t="s">
        <v>23</v>
      </c>
      <c r="E189" s="54">
        <v>0</v>
      </c>
      <c r="F189" s="31">
        <v>100</v>
      </c>
      <c r="G189" s="52">
        <f>122.67341+170.32659</f>
        <v>293</v>
      </c>
      <c r="H189" s="78">
        <f>43+122.67341+170.32659</f>
        <v>336</v>
      </c>
      <c r="I189" s="78">
        <v>150.07341</v>
      </c>
      <c r="J189" s="78">
        <f t="shared" si="16"/>
        <v>44.66470535714285</v>
      </c>
    </row>
    <row r="190" spans="1:10" ht="31.5" outlineLevel="5">
      <c r="A190" s="112" t="s">
        <v>119</v>
      </c>
      <c r="B190" s="18" t="s">
        <v>46</v>
      </c>
      <c r="C190" s="18" t="s">
        <v>79</v>
      </c>
      <c r="D190" s="18" t="s">
        <v>23</v>
      </c>
      <c r="E190" s="54">
        <v>0</v>
      </c>
      <c r="F190" s="31">
        <v>200</v>
      </c>
      <c r="G190" s="52">
        <f>-122.67341+122.67341</f>
        <v>0</v>
      </c>
      <c r="H190" s="78">
        <f>912-122.67341+122.67341</f>
        <v>912</v>
      </c>
      <c r="I190" s="78">
        <v>537.12888</v>
      </c>
      <c r="J190" s="78">
        <f t="shared" si="16"/>
        <v>58.895710526315796</v>
      </c>
    </row>
    <row r="191" spans="1:10" ht="15.75" outlineLevel="5">
      <c r="A191" s="112" t="s">
        <v>175</v>
      </c>
      <c r="B191" s="18" t="s">
        <v>46</v>
      </c>
      <c r="C191" s="18" t="s">
        <v>79</v>
      </c>
      <c r="D191" s="18" t="s">
        <v>23</v>
      </c>
      <c r="E191" s="54">
        <v>0</v>
      </c>
      <c r="F191" s="31">
        <v>800</v>
      </c>
      <c r="G191" s="52"/>
      <c r="H191" s="78">
        <v>64.2</v>
      </c>
      <c r="I191" s="78">
        <v>32.21745</v>
      </c>
      <c r="J191" s="78">
        <f t="shared" si="16"/>
        <v>50.182943925233644</v>
      </c>
    </row>
    <row r="192" spans="1:10" ht="33" customHeight="1" outlineLevel="5">
      <c r="A192" s="112" t="s">
        <v>203</v>
      </c>
      <c r="B192" s="18" t="s">
        <v>46</v>
      </c>
      <c r="C192" s="18" t="s">
        <v>79</v>
      </c>
      <c r="D192" s="18" t="s">
        <v>23</v>
      </c>
      <c r="E192" s="54">
        <v>0</v>
      </c>
      <c r="F192" s="31">
        <v>600</v>
      </c>
      <c r="G192" s="52">
        <f>290</f>
        <v>290</v>
      </c>
      <c r="H192" s="78">
        <f>10676.6+290</f>
        <v>10966.6</v>
      </c>
      <c r="I192" s="78">
        <v>7821.05897</v>
      </c>
      <c r="J192" s="78">
        <f t="shared" si="16"/>
        <v>71.31708068134152</v>
      </c>
    </row>
    <row r="193" spans="1:10" s="16" customFormat="1" ht="15.75" outlineLevel="2">
      <c r="A193" s="112" t="s">
        <v>210</v>
      </c>
      <c r="B193" s="18" t="s">
        <v>46</v>
      </c>
      <c r="C193" s="18" t="s">
        <v>79</v>
      </c>
      <c r="D193" s="18" t="s">
        <v>23</v>
      </c>
      <c r="E193" s="54">
        <v>0</v>
      </c>
      <c r="F193" s="31"/>
      <c r="G193" s="52">
        <f>SUM(G194:G202)</f>
        <v>0</v>
      </c>
      <c r="H193" s="78">
        <f>SUM(H194:H202)</f>
        <v>104556.4</v>
      </c>
      <c r="I193" s="78">
        <f>SUM(I194:I202)</f>
        <v>61258.50441</v>
      </c>
      <c r="J193" s="78">
        <f t="shared" si="16"/>
        <v>58.58895716570196</v>
      </c>
    </row>
    <row r="194" spans="1:10" ht="86.25" customHeight="1" outlineLevel="3">
      <c r="A194" s="112" t="s">
        <v>118</v>
      </c>
      <c r="B194" s="18" t="s">
        <v>46</v>
      </c>
      <c r="C194" s="18" t="s">
        <v>79</v>
      </c>
      <c r="D194" s="18" t="s">
        <v>23</v>
      </c>
      <c r="E194" s="54">
        <v>0</v>
      </c>
      <c r="F194" s="31">
        <v>100</v>
      </c>
      <c r="G194" s="52"/>
      <c r="H194" s="78">
        <f>3873+1214-280.78433+260.8</f>
        <v>5067.01567</v>
      </c>
      <c r="I194" s="78">
        <f>3076.75276-280.78433</f>
        <v>2795.96843</v>
      </c>
      <c r="J194" s="78">
        <f t="shared" si="16"/>
        <v>55.17978652708607</v>
      </c>
    </row>
    <row r="195" spans="1:10" ht="69" customHeight="1" outlineLevel="3">
      <c r="A195" s="112" t="s">
        <v>295</v>
      </c>
      <c r="B195" s="18" t="s">
        <v>46</v>
      </c>
      <c r="C195" s="18" t="s">
        <v>79</v>
      </c>
      <c r="D195" s="18" t="s">
        <v>23</v>
      </c>
      <c r="E195" s="54">
        <v>0</v>
      </c>
      <c r="F195" s="31">
        <v>100</v>
      </c>
      <c r="G195" s="52"/>
      <c r="H195" s="78">
        <v>280.78433</v>
      </c>
      <c r="I195" s="78">
        <v>280.78433</v>
      </c>
      <c r="J195" s="78">
        <f t="shared" si="16"/>
        <v>100</v>
      </c>
    </row>
    <row r="196" spans="1:10" ht="31.5" outlineLevel="3">
      <c r="A196" s="112" t="s">
        <v>119</v>
      </c>
      <c r="B196" s="18" t="s">
        <v>46</v>
      </c>
      <c r="C196" s="18" t="s">
        <v>79</v>
      </c>
      <c r="D196" s="18" t="s">
        <v>23</v>
      </c>
      <c r="E196" s="54">
        <v>0</v>
      </c>
      <c r="F196" s="31">
        <v>200</v>
      </c>
      <c r="G196" s="52"/>
      <c r="H196" s="78">
        <f>39.2+85.8+61</f>
        <v>186</v>
      </c>
      <c r="I196" s="78">
        <v>108.44</v>
      </c>
      <c r="J196" s="78">
        <f t="shared" si="16"/>
        <v>58.3010752688172</v>
      </c>
    </row>
    <row r="197" spans="1:10" ht="20.25" customHeight="1" outlineLevel="3">
      <c r="A197" s="112" t="s">
        <v>82</v>
      </c>
      <c r="B197" s="18" t="s">
        <v>46</v>
      </c>
      <c r="C197" s="18" t="s">
        <v>79</v>
      </c>
      <c r="D197" s="18" t="s">
        <v>23</v>
      </c>
      <c r="E197" s="54">
        <v>0</v>
      </c>
      <c r="F197" s="31">
        <v>200</v>
      </c>
      <c r="G197" s="52"/>
      <c r="H197" s="78">
        <f>38.3+12</f>
        <v>50.3</v>
      </c>
      <c r="I197" s="78">
        <v>48.01228</v>
      </c>
      <c r="J197" s="78">
        <f t="shared" si="16"/>
        <v>95.45184890656063</v>
      </c>
    </row>
    <row r="198" spans="1:10" ht="31.5" outlineLevel="3">
      <c r="A198" s="112" t="s">
        <v>81</v>
      </c>
      <c r="B198" s="18" t="s">
        <v>46</v>
      </c>
      <c r="C198" s="18" t="s">
        <v>79</v>
      </c>
      <c r="D198" s="18" t="s">
        <v>23</v>
      </c>
      <c r="E198" s="54">
        <v>0</v>
      </c>
      <c r="F198" s="31">
        <v>600</v>
      </c>
      <c r="G198" s="52"/>
      <c r="H198" s="78">
        <f>99600.2-1299.8-2086.91567-284.95-693.7-61-260.8</f>
        <v>94913.03433</v>
      </c>
      <c r="I198" s="78">
        <f>56679.13654-I199</f>
        <v>54592.22087</v>
      </c>
      <c r="J198" s="78">
        <f t="shared" si="16"/>
        <v>57.51814938313963</v>
      </c>
    </row>
    <row r="199" spans="1:10" ht="65.25" customHeight="1" outlineLevel="3">
      <c r="A199" s="112" t="s">
        <v>296</v>
      </c>
      <c r="B199" s="18" t="s">
        <v>46</v>
      </c>
      <c r="C199" s="18" t="s">
        <v>79</v>
      </c>
      <c r="D199" s="18" t="s">
        <v>23</v>
      </c>
      <c r="E199" s="54">
        <v>0</v>
      </c>
      <c r="F199" s="31">
        <v>600</v>
      </c>
      <c r="G199" s="52"/>
      <c r="H199" s="78">
        <v>2086.91567</v>
      </c>
      <c r="I199" s="78">
        <v>2086.91567</v>
      </c>
      <c r="J199" s="78">
        <f t="shared" si="16"/>
        <v>100</v>
      </c>
    </row>
    <row r="200" spans="1:10" ht="22.5" customHeight="1" outlineLevel="3">
      <c r="A200" s="112" t="s">
        <v>82</v>
      </c>
      <c r="B200" s="18" t="s">
        <v>46</v>
      </c>
      <c r="C200" s="18" t="s">
        <v>79</v>
      </c>
      <c r="D200" s="18" t="s">
        <v>23</v>
      </c>
      <c r="E200" s="54">
        <v>0</v>
      </c>
      <c r="F200" s="31">
        <v>600</v>
      </c>
      <c r="G200" s="52"/>
      <c r="H200" s="78">
        <f>1665.7-12</f>
        <v>1653.7</v>
      </c>
      <c r="I200" s="78">
        <v>1320.97595</v>
      </c>
      <c r="J200" s="78">
        <f t="shared" si="16"/>
        <v>79.88002358347947</v>
      </c>
    </row>
    <row r="201" spans="1:10" ht="39" customHeight="1" outlineLevel="3">
      <c r="A201" s="112" t="s">
        <v>209</v>
      </c>
      <c r="B201" s="18" t="s">
        <v>46</v>
      </c>
      <c r="C201" s="18" t="s">
        <v>79</v>
      </c>
      <c r="D201" s="18" t="s">
        <v>23</v>
      </c>
      <c r="E201" s="54">
        <v>0</v>
      </c>
      <c r="F201" s="31">
        <v>600</v>
      </c>
      <c r="G201" s="52"/>
      <c r="H201" s="78">
        <f>33.7</f>
        <v>33.7</v>
      </c>
      <c r="I201" s="78">
        <v>25.18688</v>
      </c>
      <c r="J201" s="78">
        <f aca="true" t="shared" si="18" ref="J201:J251">SUM(I201/H201)*100</f>
        <v>74.73851632047477</v>
      </c>
    </row>
    <row r="202" spans="1:10" ht="36.75" customHeight="1" outlineLevel="3">
      <c r="A202" s="112" t="s">
        <v>298</v>
      </c>
      <c r="B202" s="18" t="s">
        <v>46</v>
      </c>
      <c r="C202" s="18" t="s">
        <v>79</v>
      </c>
      <c r="D202" s="18" t="s">
        <v>23</v>
      </c>
      <c r="E202" s="54">
        <v>0</v>
      </c>
      <c r="F202" s="31">
        <v>600</v>
      </c>
      <c r="G202" s="52"/>
      <c r="H202" s="78">
        <f>284.95</f>
        <v>284.95</v>
      </c>
      <c r="I202" s="78">
        <v>0</v>
      </c>
      <c r="J202" s="78">
        <f t="shared" si="18"/>
        <v>0</v>
      </c>
    </row>
    <row r="203" spans="1:10" ht="22.5" customHeight="1" outlineLevel="1">
      <c r="A203" s="112" t="s">
        <v>83</v>
      </c>
      <c r="B203" s="18" t="s">
        <v>46</v>
      </c>
      <c r="C203" s="18" t="s">
        <v>79</v>
      </c>
      <c r="D203" s="18"/>
      <c r="E203" s="54"/>
      <c r="F203" s="31"/>
      <c r="G203" s="52">
        <f>SUM(G204+G206)</f>
        <v>0</v>
      </c>
      <c r="H203" s="78">
        <f>SUM(H204+H206)</f>
        <v>7266.499</v>
      </c>
      <c r="I203" s="78">
        <f>SUM(I204+I206)</f>
        <v>4624.080910000001</v>
      </c>
      <c r="J203" s="78">
        <f t="shared" si="18"/>
        <v>63.635609252819</v>
      </c>
    </row>
    <row r="204" spans="1:10" ht="73.5" customHeight="1" outlineLevel="3">
      <c r="A204" s="112" t="s">
        <v>246</v>
      </c>
      <c r="B204" s="18" t="s">
        <v>46</v>
      </c>
      <c r="C204" s="18" t="s">
        <v>79</v>
      </c>
      <c r="D204" s="18" t="s">
        <v>24</v>
      </c>
      <c r="E204" s="54">
        <v>0</v>
      </c>
      <c r="F204" s="31"/>
      <c r="G204" s="52">
        <f>SUM(G205:G205)</f>
        <v>0</v>
      </c>
      <c r="H204" s="78">
        <f>SUM(H205:H205)</f>
        <v>3651</v>
      </c>
      <c r="I204" s="78">
        <f>SUM(I205:I205)</f>
        <v>2828.69666</v>
      </c>
      <c r="J204" s="78">
        <f t="shared" si="18"/>
        <v>77.47731196932347</v>
      </c>
    </row>
    <row r="205" spans="1:10" ht="39" customHeight="1" outlineLevel="3">
      <c r="A205" s="112" t="s">
        <v>203</v>
      </c>
      <c r="B205" s="18" t="s">
        <v>46</v>
      </c>
      <c r="C205" s="18" t="s">
        <v>79</v>
      </c>
      <c r="D205" s="18" t="s">
        <v>24</v>
      </c>
      <c r="E205" s="54">
        <v>0</v>
      </c>
      <c r="F205" s="31">
        <v>600</v>
      </c>
      <c r="G205" s="52"/>
      <c r="H205" s="78">
        <v>3651</v>
      </c>
      <c r="I205" s="78">
        <v>2828.69666</v>
      </c>
      <c r="J205" s="78">
        <f t="shared" si="18"/>
        <v>77.47731196932347</v>
      </c>
    </row>
    <row r="206" spans="1:10" ht="63.75" customHeight="1" outlineLevel="3">
      <c r="A206" s="112" t="s">
        <v>290</v>
      </c>
      <c r="B206" s="18" t="s">
        <v>46</v>
      </c>
      <c r="C206" s="18" t="s">
        <v>79</v>
      </c>
      <c r="D206" s="18" t="s">
        <v>25</v>
      </c>
      <c r="E206" s="54">
        <v>0</v>
      </c>
      <c r="F206" s="31"/>
      <c r="G206" s="52">
        <f>SUM(G207:G208)</f>
        <v>0</v>
      </c>
      <c r="H206" s="78">
        <f>SUM(H207:H208)</f>
        <v>3615.499</v>
      </c>
      <c r="I206" s="78">
        <f>SUM(I207:I208)</f>
        <v>1795.38425</v>
      </c>
      <c r="J206" s="78">
        <f t="shared" si="18"/>
        <v>49.6579932673194</v>
      </c>
    </row>
    <row r="207" spans="1:10" ht="36.75" customHeight="1" outlineLevel="3">
      <c r="A207" s="112" t="s">
        <v>203</v>
      </c>
      <c r="B207" s="18" t="s">
        <v>46</v>
      </c>
      <c r="C207" s="18" t="s">
        <v>79</v>
      </c>
      <c r="D207" s="18" t="s">
        <v>25</v>
      </c>
      <c r="E207" s="54">
        <v>0</v>
      </c>
      <c r="F207" s="31">
        <v>600</v>
      </c>
      <c r="G207" s="52"/>
      <c r="H207" s="78">
        <f>3600+0.899</f>
        <v>3600.899</v>
      </c>
      <c r="I207" s="78">
        <v>1789.32995</v>
      </c>
      <c r="J207" s="78">
        <f t="shared" si="18"/>
        <v>49.69120072515225</v>
      </c>
    </row>
    <row r="208" spans="1:10" ht="36.75" customHeight="1" outlineLevel="3">
      <c r="A208" s="112" t="s">
        <v>209</v>
      </c>
      <c r="B208" s="18" t="s">
        <v>46</v>
      </c>
      <c r="C208" s="18" t="s">
        <v>79</v>
      </c>
      <c r="D208" s="18" t="s">
        <v>25</v>
      </c>
      <c r="E208" s="54">
        <v>0</v>
      </c>
      <c r="F208" s="31">
        <v>600</v>
      </c>
      <c r="G208" s="52"/>
      <c r="H208" s="78">
        <f>14.6</f>
        <v>14.6</v>
      </c>
      <c r="I208" s="78">
        <v>6.0543</v>
      </c>
      <c r="J208" s="78">
        <f t="shared" si="18"/>
        <v>41.46780821917808</v>
      </c>
    </row>
    <row r="209" spans="1:10" ht="18.75" customHeight="1" outlineLevel="1">
      <c r="A209" s="113" t="s">
        <v>87</v>
      </c>
      <c r="B209" s="18" t="s">
        <v>46</v>
      </c>
      <c r="C209" s="18" t="s">
        <v>86</v>
      </c>
      <c r="D209" s="18" t="s">
        <v>0</v>
      </c>
      <c r="E209" s="54" t="s">
        <v>0</v>
      </c>
      <c r="F209" s="31"/>
      <c r="G209" s="52">
        <f>SUM(G210+G217+G219+G221+G224)</f>
        <v>198.223</v>
      </c>
      <c r="H209" s="78">
        <f>SUM(H210+H217+H219+H221+H224)</f>
        <v>6159.423000000001</v>
      </c>
      <c r="I209" s="78">
        <f>SUM(I210+I217+I219+I221+I224)</f>
        <v>3204.91613</v>
      </c>
      <c r="J209" s="78">
        <f t="shared" si="18"/>
        <v>52.03273309853861</v>
      </c>
    </row>
    <row r="210" spans="1:10" ht="92.25" customHeight="1" outlineLevel="1">
      <c r="A210" s="113" t="s">
        <v>211</v>
      </c>
      <c r="B210" s="18" t="s">
        <v>46</v>
      </c>
      <c r="C210" s="18" t="s">
        <v>86</v>
      </c>
      <c r="D210" s="18" t="s">
        <v>30</v>
      </c>
      <c r="E210" s="54">
        <v>0</v>
      </c>
      <c r="F210" s="31"/>
      <c r="G210" s="52">
        <f>SUM(G211+G213+G215)</f>
        <v>0</v>
      </c>
      <c r="H210" s="78">
        <f>SUM(H211+H213+H215)</f>
        <v>300</v>
      </c>
      <c r="I210" s="78">
        <f>SUM(I211+I213+I215)</f>
        <v>97.27579</v>
      </c>
      <c r="J210" s="78">
        <f t="shared" si="18"/>
        <v>32.42526333333333</v>
      </c>
    </row>
    <row r="211" spans="1:10" ht="42" customHeight="1" outlineLevel="1">
      <c r="A211" s="112" t="s">
        <v>212</v>
      </c>
      <c r="B211" s="18" t="s">
        <v>46</v>
      </c>
      <c r="C211" s="18" t="s">
        <v>86</v>
      </c>
      <c r="D211" s="18" t="s">
        <v>30</v>
      </c>
      <c r="E211" s="54">
        <v>1</v>
      </c>
      <c r="F211" s="31"/>
      <c r="G211" s="52">
        <f>SUM(G212)</f>
        <v>0</v>
      </c>
      <c r="H211" s="78">
        <f>SUM(H212)</f>
        <v>50</v>
      </c>
      <c r="I211" s="78">
        <f>SUM(I212)</f>
        <v>20.5625</v>
      </c>
      <c r="J211" s="78">
        <f t="shared" si="18"/>
        <v>41.125</v>
      </c>
    </row>
    <row r="212" spans="1:10" ht="33.75" customHeight="1" outlineLevel="1">
      <c r="A212" s="112" t="s">
        <v>119</v>
      </c>
      <c r="B212" s="18" t="s">
        <v>46</v>
      </c>
      <c r="C212" s="18" t="s">
        <v>86</v>
      </c>
      <c r="D212" s="18" t="s">
        <v>30</v>
      </c>
      <c r="E212" s="54">
        <v>1</v>
      </c>
      <c r="F212" s="31">
        <v>200</v>
      </c>
      <c r="G212" s="52"/>
      <c r="H212" s="78">
        <v>50</v>
      </c>
      <c r="I212" s="78">
        <v>20.5625</v>
      </c>
      <c r="J212" s="78">
        <f t="shared" si="18"/>
        <v>41.125</v>
      </c>
    </row>
    <row r="213" spans="1:10" ht="39.75" customHeight="1" outlineLevel="1">
      <c r="A213" s="112" t="s">
        <v>213</v>
      </c>
      <c r="B213" s="18" t="s">
        <v>46</v>
      </c>
      <c r="C213" s="18" t="s">
        <v>86</v>
      </c>
      <c r="D213" s="18" t="s">
        <v>30</v>
      </c>
      <c r="E213" s="54">
        <v>2</v>
      </c>
      <c r="F213" s="31"/>
      <c r="G213" s="52">
        <f>SUM(G214)</f>
        <v>0</v>
      </c>
      <c r="H213" s="78">
        <f>SUM(H214)</f>
        <v>200</v>
      </c>
      <c r="I213" s="78">
        <f>SUM(I214)</f>
        <v>66.71329</v>
      </c>
      <c r="J213" s="78">
        <f t="shared" si="18"/>
        <v>33.356645</v>
      </c>
    </row>
    <row r="214" spans="1:10" ht="33" customHeight="1" outlineLevel="1">
      <c r="A214" s="112" t="s">
        <v>119</v>
      </c>
      <c r="B214" s="18" t="s">
        <v>46</v>
      </c>
      <c r="C214" s="18" t="s">
        <v>86</v>
      </c>
      <c r="D214" s="18" t="s">
        <v>30</v>
      </c>
      <c r="E214" s="54">
        <v>2</v>
      </c>
      <c r="F214" s="31">
        <v>200</v>
      </c>
      <c r="G214" s="52"/>
      <c r="H214" s="78">
        <v>200</v>
      </c>
      <c r="I214" s="78">
        <v>66.71329</v>
      </c>
      <c r="J214" s="78">
        <f t="shared" si="18"/>
        <v>33.356645</v>
      </c>
    </row>
    <row r="215" spans="1:10" ht="46.5" customHeight="1" outlineLevel="1">
      <c r="A215" s="112" t="s">
        <v>214</v>
      </c>
      <c r="B215" s="18" t="s">
        <v>46</v>
      </c>
      <c r="C215" s="18" t="s">
        <v>86</v>
      </c>
      <c r="D215" s="18" t="s">
        <v>30</v>
      </c>
      <c r="E215" s="54">
        <v>3</v>
      </c>
      <c r="F215" s="31"/>
      <c r="G215" s="52">
        <f>SUM(G216)</f>
        <v>0</v>
      </c>
      <c r="H215" s="78">
        <f>SUM(H216)</f>
        <v>50</v>
      </c>
      <c r="I215" s="78">
        <f>SUM(I216)</f>
        <v>10</v>
      </c>
      <c r="J215" s="78">
        <f t="shared" si="18"/>
        <v>20</v>
      </c>
    </row>
    <row r="216" spans="1:10" ht="34.5" customHeight="1" outlineLevel="1">
      <c r="A216" s="112" t="s">
        <v>119</v>
      </c>
      <c r="B216" s="18" t="s">
        <v>46</v>
      </c>
      <c r="C216" s="18" t="s">
        <v>86</v>
      </c>
      <c r="D216" s="18" t="s">
        <v>30</v>
      </c>
      <c r="E216" s="54">
        <v>3</v>
      </c>
      <c r="F216" s="31">
        <v>200</v>
      </c>
      <c r="G216" s="52"/>
      <c r="H216" s="78">
        <v>50</v>
      </c>
      <c r="I216" s="78">
        <v>10</v>
      </c>
      <c r="J216" s="78">
        <f t="shared" si="18"/>
        <v>20</v>
      </c>
    </row>
    <row r="217" spans="1:10" ht="55.5" customHeight="1" outlineLevel="1">
      <c r="A217" s="112" t="s">
        <v>285</v>
      </c>
      <c r="B217" s="18" t="s">
        <v>46</v>
      </c>
      <c r="C217" s="18" t="s">
        <v>86</v>
      </c>
      <c r="D217" s="18" t="s">
        <v>7</v>
      </c>
      <c r="E217" s="54">
        <v>0</v>
      </c>
      <c r="F217" s="31"/>
      <c r="G217" s="52">
        <f>SUM(G218)</f>
        <v>198.223</v>
      </c>
      <c r="H217" s="78">
        <f>SUM(H218)</f>
        <v>398.223</v>
      </c>
      <c r="I217" s="78">
        <f>SUM(I218)</f>
        <v>398.223</v>
      </c>
      <c r="J217" s="78">
        <f t="shared" si="18"/>
        <v>100</v>
      </c>
    </row>
    <row r="218" spans="1:10" ht="34.5" customHeight="1" outlineLevel="1">
      <c r="A218" s="112" t="s">
        <v>119</v>
      </c>
      <c r="B218" s="18" t="s">
        <v>46</v>
      </c>
      <c r="C218" s="18" t="s">
        <v>86</v>
      </c>
      <c r="D218" s="18" t="s">
        <v>7</v>
      </c>
      <c r="E218" s="54">
        <v>0</v>
      </c>
      <c r="F218" s="31">
        <v>200</v>
      </c>
      <c r="G218" s="52">
        <v>198.223</v>
      </c>
      <c r="H218" s="78">
        <f>200+198.223</f>
        <v>398.223</v>
      </c>
      <c r="I218" s="78">
        <v>398.223</v>
      </c>
      <c r="J218" s="78">
        <f t="shared" si="18"/>
        <v>100</v>
      </c>
    </row>
    <row r="219" spans="1:10" ht="55.5" customHeight="1" outlineLevel="3">
      <c r="A219" s="113" t="s">
        <v>247</v>
      </c>
      <c r="B219" s="18" t="s">
        <v>46</v>
      </c>
      <c r="C219" s="18" t="s">
        <v>86</v>
      </c>
      <c r="D219" s="18" t="s">
        <v>26</v>
      </c>
      <c r="E219" s="54">
        <v>0</v>
      </c>
      <c r="F219" s="31"/>
      <c r="G219" s="52">
        <f>SUM(G220)</f>
        <v>0</v>
      </c>
      <c r="H219" s="78">
        <f>SUM(H220)</f>
        <v>2500</v>
      </c>
      <c r="I219" s="78">
        <f>SUM(I220)</f>
        <v>1455.00424</v>
      </c>
      <c r="J219" s="78">
        <f t="shared" si="18"/>
        <v>58.200169599999995</v>
      </c>
    </row>
    <row r="220" spans="1:10" ht="39.75" customHeight="1" outlineLevel="3">
      <c r="A220" s="112" t="s">
        <v>203</v>
      </c>
      <c r="B220" s="18" t="s">
        <v>46</v>
      </c>
      <c r="C220" s="18" t="s">
        <v>86</v>
      </c>
      <c r="D220" s="18" t="s">
        <v>26</v>
      </c>
      <c r="E220" s="54">
        <v>0</v>
      </c>
      <c r="F220" s="31">
        <v>600</v>
      </c>
      <c r="G220" s="52"/>
      <c r="H220" s="78">
        <v>2500</v>
      </c>
      <c r="I220" s="78">
        <v>1455.00424</v>
      </c>
      <c r="J220" s="78">
        <f t="shared" si="18"/>
        <v>58.200169599999995</v>
      </c>
    </row>
    <row r="221" spans="1:10" s="16" customFormat="1" ht="78.75" customHeight="1" outlineLevel="2">
      <c r="A221" s="113" t="s">
        <v>286</v>
      </c>
      <c r="B221" s="18" t="s">
        <v>46</v>
      </c>
      <c r="C221" s="18" t="s">
        <v>86</v>
      </c>
      <c r="D221" s="18" t="s">
        <v>27</v>
      </c>
      <c r="E221" s="54">
        <v>0</v>
      </c>
      <c r="F221" s="31"/>
      <c r="G221" s="52">
        <f>SUM(G222:G223)</f>
        <v>0</v>
      </c>
      <c r="H221" s="78">
        <f>SUM(H222:H223)</f>
        <v>1600</v>
      </c>
      <c r="I221" s="78">
        <f>SUM(I222:I223)</f>
        <v>758.2309</v>
      </c>
      <c r="J221" s="78">
        <f t="shared" si="18"/>
        <v>47.38943125</v>
      </c>
    </row>
    <row r="222" spans="1:10" s="16" customFormat="1" ht="47.25" outlineLevel="2">
      <c r="A222" s="112" t="s">
        <v>203</v>
      </c>
      <c r="B222" s="18" t="s">
        <v>46</v>
      </c>
      <c r="C222" s="18" t="s">
        <v>86</v>
      </c>
      <c r="D222" s="18" t="s">
        <v>27</v>
      </c>
      <c r="E222" s="54">
        <v>0</v>
      </c>
      <c r="F222" s="31">
        <v>600</v>
      </c>
      <c r="G222" s="52"/>
      <c r="H222" s="78">
        <v>1600</v>
      </c>
      <c r="I222" s="78">
        <v>758.2309</v>
      </c>
      <c r="J222" s="78">
        <f t="shared" si="18"/>
        <v>47.38943125</v>
      </c>
    </row>
    <row r="223" spans="1:10" s="16" customFormat="1" ht="54.75" customHeight="1" outlineLevel="2">
      <c r="A223" s="113" t="s">
        <v>193</v>
      </c>
      <c r="B223" s="18" t="s">
        <v>46</v>
      </c>
      <c r="C223" s="18" t="s">
        <v>86</v>
      </c>
      <c r="D223" s="18" t="s">
        <v>27</v>
      </c>
      <c r="E223" s="54">
        <v>0</v>
      </c>
      <c r="F223" s="31">
        <v>600</v>
      </c>
      <c r="G223" s="52"/>
      <c r="H223" s="78">
        <v>0</v>
      </c>
      <c r="I223" s="78">
        <v>0</v>
      </c>
      <c r="J223" s="78">
        <v>0</v>
      </c>
    </row>
    <row r="224" spans="1:10" s="16" customFormat="1" ht="33.75" customHeight="1" outlineLevel="2">
      <c r="A224" s="113" t="s">
        <v>215</v>
      </c>
      <c r="B224" s="18" t="s">
        <v>86</v>
      </c>
      <c r="C224" s="18" t="s">
        <v>17</v>
      </c>
      <c r="D224" s="54">
        <v>0</v>
      </c>
      <c r="E224" s="54"/>
      <c r="F224" s="31"/>
      <c r="G224" s="52">
        <f>SUM(G225)</f>
        <v>0</v>
      </c>
      <c r="H224" s="78">
        <f>SUM(H225)</f>
        <v>1361.2000000000003</v>
      </c>
      <c r="I224" s="78">
        <f>SUM(I225)</f>
        <v>496.1822</v>
      </c>
      <c r="J224" s="78">
        <f t="shared" si="18"/>
        <v>36.45182192183367</v>
      </c>
    </row>
    <row r="225" spans="1:10" s="16" customFormat="1" ht="47.25" outlineLevel="2">
      <c r="A225" s="112" t="s">
        <v>202</v>
      </c>
      <c r="B225" s="18" t="s">
        <v>86</v>
      </c>
      <c r="C225" s="18" t="s">
        <v>17</v>
      </c>
      <c r="D225" s="54">
        <v>0</v>
      </c>
      <c r="E225" s="54"/>
      <c r="F225" s="31"/>
      <c r="G225" s="52">
        <f>SUM(G226:G227)</f>
        <v>0</v>
      </c>
      <c r="H225" s="78">
        <f>SUM(H226:H227)</f>
        <v>1361.2000000000003</v>
      </c>
      <c r="I225" s="78">
        <f>SUM(I226:I227)</f>
        <v>496.1822</v>
      </c>
      <c r="J225" s="78">
        <f t="shared" si="18"/>
        <v>36.45182192183367</v>
      </c>
    </row>
    <row r="226" spans="1:10" s="16" customFormat="1" ht="51.75" customHeight="1" outlineLevel="2">
      <c r="A226" s="113" t="s">
        <v>216</v>
      </c>
      <c r="B226" s="18" t="s">
        <v>46</v>
      </c>
      <c r="C226" s="18" t="s">
        <v>86</v>
      </c>
      <c r="D226" s="18" t="s">
        <v>17</v>
      </c>
      <c r="E226" s="54">
        <v>0</v>
      </c>
      <c r="F226" s="31">
        <v>600</v>
      </c>
      <c r="G226" s="52"/>
      <c r="H226" s="78">
        <f>506.6+789.7</f>
        <v>1296.3000000000002</v>
      </c>
      <c r="I226" s="78">
        <v>496.1822</v>
      </c>
      <c r="J226" s="78">
        <f t="shared" si="18"/>
        <v>38.27680320913369</v>
      </c>
    </row>
    <row r="227" spans="1:10" s="16" customFormat="1" ht="35.25" customHeight="1" outlineLevel="2">
      <c r="A227" s="112" t="s">
        <v>203</v>
      </c>
      <c r="B227" s="18" t="s">
        <v>46</v>
      </c>
      <c r="C227" s="18" t="s">
        <v>86</v>
      </c>
      <c r="D227" s="18" t="s">
        <v>17</v>
      </c>
      <c r="E227" s="54">
        <v>0</v>
      </c>
      <c r="F227" s="31">
        <v>600</v>
      </c>
      <c r="G227" s="52"/>
      <c r="H227" s="78">
        <f>25.4+39.5</f>
        <v>64.9</v>
      </c>
      <c r="I227" s="78">
        <v>0</v>
      </c>
      <c r="J227" s="78">
        <f t="shared" si="18"/>
        <v>0</v>
      </c>
    </row>
    <row r="228" spans="1:10" s="16" customFormat="1" ht="15.75" outlineLevel="2">
      <c r="A228" s="112" t="s">
        <v>88</v>
      </c>
      <c r="B228" s="18" t="s">
        <v>46</v>
      </c>
      <c r="C228" s="18" t="s">
        <v>89</v>
      </c>
      <c r="D228" s="18"/>
      <c r="E228" s="54"/>
      <c r="F228" s="31"/>
      <c r="G228" s="52">
        <f>SUM(G231+G229)</f>
        <v>175.85</v>
      </c>
      <c r="H228" s="78">
        <f>SUM(H231+H229)</f>
        <v>800.85</v>
      </c>
      <c r="I228" s="78">
        <f>SUM(I231+I229)</f>
        <v>357.17713</v>
      </c>
      <c r="J228" s="78">
        <f t="shared" si="18"/>
        <v>44.599754011362926</v>
      </c>
    </row>
    <row r="229" spans="1:10" s="16" customFormat="1" ht="110.25" outlineLevel="2">
      <c r="A229" s="112" t="s">
        <v>314</v>
      </c>
      <c r="B229" s="18" t="s">
        <v>46</v>
      </c>
      <c r="C229" s="18" t="s">
        <v>89</v>
      </c>
      <c r="D229" s="18" t="s">
        <v>312</v>
      </c>
      <c r="E229" s="54">
        <v>0</v>
      </c>
      <c r="F229" s="65"/>
      <c r="G229" s="52">
        <f>SUM(G230)</f>
        <v>160</v>
      </c>
      <c r="H229" s="78">
        <f>SUM(H230)</f>
        <v>160</v>
      </c>
      <c r="I229" s="78">
        <f>SUM(I230)</f>
        <v>0</v>
      </c>
      <c r="J229" s="78">
        <f t="shared" si="18"/>
        <v>0</v>
      </c>
    </row>
    <row r="230" spans="1:10" s="16" customFormat="1" ht="27" customHeight="1" outlineLevel="2">
      <c r="A230" s="112" t="s">
        <v>204</v>
      </c>
      <c r="B230" s="18" t="s">
        <v>46</v>
      </c>
      <c r="C230" s="18" t="s">
        <v>89</v>
      </c>
      <c r="D230" s="18" t="s">
        <v>312</v>
      </c>
      <c r="E230" s="54">
        <v>0</v>
      </c>
      <c r="F230" s="65">
        <v>300</v>
      </c>
      <c r="G230" s="52">
        <v>160</v>
      </c>
      <c r="H230" s="78">
        <v>160</v>
      </c>
      <c r="I230" s="78">
        <v>0</v>
      </c>
      <c r="J230" s="78">
        <f t="shared" si="18"/>
        <v>0</v>
      </c>
    </row>
    <row r="231" spans="1:10" ht="68.25" customHeight="1" outlineLevel="3">
      <c r="A231" s="113" t="s">
        <v>287</v>
      </c>
      <c r="B231" s="18" t="s">
        <v>46</v>
      </c>
      <c r="C231" s="18" t="s">
        <v>89</v>
      </c>
      <c r="D231" s="18" t="s">
        <v>28</v>
      </c>
      <c r="E231" s="54">
        <v>0</v>
      </c>
      <c r="F231" s="31"/>
      <c r="G231" s="52">
        <f>SUM(G232:G234)</f>
        <v>15.85</v>
      </c>
      <c r="H231" s="78">
        <f>SUM(H232:H234)</f>
        <v>640.85</v>
      </c>
      <c r="I231" s="78">
        <f>SUM(I232:I234)</f>
        <v>357.17713</v>
      </c>
      <c r="J231" s="78">
        <f t="shared" si="18"/>
        <v>55.734903643598344</v>
      </c>
    </row>
    <row r="232" spans="1:10" ht="86.25" customHeight="1" outlineLevel="2">
      <c r="A232" s="112" t="s">
        <v>118</v>
      </c>
      <c r="B232" s="18" t="s">
        <v>46</v>
      </c>
      <c r="C232" s="18" t="s">
        <v>89</v>
      </c>
      <c r="D232" s="18" t="s">
        <v>28</v>
      </c>
      <c r="E232" s="54">
        <v>0</v>
      </c>
      <c r="F232" s="31">
        <v>100</v>
      </c>
      <c r="G232" s="52"/>
      <c r="H232" s="78">
        <v>600</v>
      </c>
      <c r="I232" s="78">
        <v>316.5056</v>
      </c>
      <c r="J232" s="78">
        <f t="shared" si="18"/>
        <v>52.750933333333336</v>
      </c>
    </row>
    <row r="233" spans="1:10" ht="31.5" outlineLevel="3">
      <c r="A233" s="112" t="s">
        <v>119</v>
      </c>
      <c r="B233" s="18" t="s">
        <v>46</v>
      </c>
      <c r="C233" s="18" t="s">
        <v>89</v>
      </c>
      <c r="D233" s="18" t="s">
        <v>28</v>
      </c>
      <c r="E233" s="54">
        <v>0</v>
      </c>
      <c r="F233" s="31">
        <v>200</v>
      </c>
      <c r="G233" s="52">
        <v>15.85</v>
      </c>
      <c r="H233" s="78">
        <f>24.8+15.85</f>
        <v>40.65</v>
      </c>
      <c r="I233" s="78">
        <v>40.65</v>
      </c>
      <c r="J233" s="78">
        <f t="shared" si="18"/>
        <v>100</v>
      </c>
    </row>
    <row r="234" spans="1:10" ht="15.75" outlineLevel="3">
      <c r="A234" s="112" t="s">
        <v>175</v>
      </c>
      <c r="B234" s="18" t="s">
        <v>46</v>
      </c>
      <c r="C234" s="18" t="s">
        <v>89</v>
      </c>
      <c r="D234" s="18" t="s">
        <v>28</v>
      </c>
      <c r="E234" s="54">
        <v>0</v>
      </c>
      <c r="F234" s="31">
        <v>800</v>
      </c>
      <c r="G234" s="52"/>
      <c r="H234" s="78">
        <v>0.2</v>
      </c>
      <c r="I234" s="78">
        <v>0.02153</v>
      </c>
      <c r="J234" s="78">
        <f t="shared" si="18"/>
        <v>10.764999999999999</v>
      </c>
    </row>
    <row r="235" spans="1:10" ht="15.75" outlineLevel="1">
      <c r="A235" s="112" t="s">
        <v>90</v>
      </c>
      <c r="B235" s="18" t="s">
        <v>46</v>
      </c>
      <c r="C235" s="18" t="s">
        <v>137</v>
      </c>
      <c r="D235" s="18"/>
      <c r="E235" s="54"/>
      <c r="F235" s="31"/>
      <c r="G235" s="52">
        <f>SUM(G236+G238+G240)</f>
        <v>0</v>
      </c>
      <c r="H235" s="78">
        <f>SUM(H236+H238+H240)</f>
        <v>8917.6</v>
      </c>
      <c r="I235" s="78">
        <f>SUM(I236+I238+I240)</f>
        <v>5259.18447</v>
      </c>
      <c r="J235" s="78">
        <f t="shared" si="18"/>
        <v>58.975334955593425</v>
      </c>
    </row>
    <row r="236" spans="1:10" ht="52.5" customHeight="1" outlineLevel="1">
      <c r="A236" s="112" t="s">
        <v>241</v>
      </c>
      <c r="B236" s="18" t="s">
        <v>46</v>
      </c>
      <c r="C236" s="18" t="s">
        <v>96</v>
      </c>
      <c r="D236" s="18" t="s">
        <v>5</v>
      </c>
      <c r="E236" s="54">
        <v>0</v>
      </c>
      <c r="F236" s="65"/>
      <c r="G236" s="52">
        <f>SUM(G237)</f>
        <v>0</v>
      </c>
      <c r="H236" s="78">
        <f>SUM(H237)</f>
        <v>100</v>
      </c>
      <c r="I236" s="78">
        <f>SUM(I237)</f>
        <v>11</v>
      </c>
      <c r="J236" s="78">
        <f t="shared" si="18"/>
        <v>11</v>
      </c>
    </row>
    <row r="237" spans="1:10" ht="41.25" customHeight="1" outlineLevel="1">
      <c r="A237" s="112" t="s">
        <v>203</v>
      </c>
      <c r="B237" s="18" t="s">
        <v>46</v>
      </c>
      <c r="C237" s="18" t="s">
        <v>96</v>
      </c>
      <c r="D237" s="18" t="s">
        <v>5</v>
      </c>
      <c r="E237" s="54">
        <v>0</v>
      </c>
      <c r="F237" s="65">
        <v>600</v>
      </c>
      <c r="G237" s="52"/>
      <c r="H237" s="78">
        <v>100</v>
      </c>
      <c r="I237" s="78">
        <v>11</v>
      </c>
      <c r="J237" s="78">
        <f t="shared" si="18"/>
        <v>11</v>
      </c>
    </row>
    <row r="238" spans="1:10" ht="50.25" customHeight="1" outlineLevel="1">
      <c r="A238" s="113" t="s">
        <v>196</v>
      </c>
      <c r="B238" s="18" t="s">
        <v>46</v>
      </c>
      <c r="C238" s="18" t="s">
        <v>96</v>
      </c>
      <c r="D238" s="18" t="s">
        <v>4</v>
      </c>
      <c r="E238" s="54">
        <v>0</v>
      </c>
      <c r="F238" s="65"/>
      <c r="G238" s="52">
        <f>SUM(G239)</f>
        <v>0</v>
      </c>
      <c r="H238" s="78">
        <f>SUM(H239)</f>
        <v>200</v>
      </c>
      <c r="I238" s="78">
        <f>SUM(I239)</f>
        <v>46.9266</v>
      </c>
      <c r="J238" s="78">
        <f t="shared" si="18"/>
        <v>23.4633</v>
      </c>
    </row>
    <row r="239" spans="1:10" ht="35.25" customHeight="1" outlineLevel="1">
      <c r="A239" s="112" t="s">
        <v>203</v>
      </c>
      <c r="B239" s="18" t="s">
        <v>46</v>
      </c>
      <c r="C239" s="18" t="s">
        <v>96</v>
      </c>
      <c r="D239" s="18" t="s">
        <v>4</v>
      </c>
      <c r="E239" s="54">
        <v>0</v>
      </c>
      <c r="F239" s="65">
        <v>600</v>
      </c>
      <c r="G239" s="52"/>
      <c r="H239" s="78">
        <v>200</v>
      </c>
      <c r="I239" s="78">
        <v>46.9266</v>
      </c>
      <c r="J239" s="78">
        <f t="shared" si="18"/>
        <v>23.4633</v>
      </c>
    </row>
    <row r="240" spans="1:10" ht="52.5" customHeight="1" outlineLevel="1">
      <c r="A240" s="113" t="s">
        <v>248</v>
      </c>
      <c r="B240" s="18" t="s">
        <v>46</v>
      </c>
      <c r="C240" s="18" t="s">
        <v>137</v>
      </c>
      <c r="D240" s="18" t="s">
        <v>29</v>
      </c>
      <c r="E240" s="54">
        <v>0</v>
      </c>
      <c r="F240" s="31"/>
      <c r="G240" s="52">
        <f>SUM(G241+G244+G246+G250+G252)</f>
        <v>0</v>
      </c>
      <c r="H240" s="78">
        <f>SUM(H241+H244+H246+H250+H252)</f>
        <v>8617.6</v>
      </c>
      <c r="I240" s="78">
        <f>SUM(I241+I244+I246+I250+I252)</f>
        <v>5201.25787</v>
      </c>
      <c r="J240" s="78">
        <f t="shared" si="18"/>
        <v>60.356222962309694</v>
      </c>
    </row>
    <row r="241" spans="1:10" ht="31.5" outlineLevel="5">
      <c r="A241" s="113" t="s">
        <v>91</v>
      </c>
      <c r="B241" s="18" t="s">
        <v>46</v>
      </c>
      <c r="C241" s="18" t="s">
        <v>96</v>
      </c>
      <c r="D241" s="18" t="s">
        <v>29</v>
      </c>
      <c r="E241" s="54">
        <v>0</v>
      </c>
      <c r="F241" s="31"/>
      <c r="G241" s="52">
        <f>SUM(G242:G243)</f>
        <v>0</v>
      </c>
      <c r="H241" s="78">
        <f>SUM(H242:H243)</f>
        <v>6032.6</v>
      </c>
      <c r="I241" s="78">
        <f>SUM(I242:I243)</f>
        <v>3846.97351</v>
      </c>
      <c r="J241" s="78">
        <f t="shared" si="18"/>
        <v>63.769742896926694</v>
      </c>
    </row>
    <row r="242" spans="1:10" ht="36.75" customHeight="1" outlineLevel="3">
      <c r="A242" s="112" t="s">
        <v>203</v>
      </c>
      <c r="B242" s="18" t="s">
        <v>46</v>
      </c>
      <c r="C242" s="18" t="s">
        <v>96</v>
      </c>
      <c r="D242" s="18" t="s">
        <v>29</v>
      </c>
      <c r="E242" s="54">
        <v>0</v>
      </c>
      <c r="F242" s="31">
        <v>600</v>
      </c>
      <c r="G242" s="52"/>
      <c r="H242" s="78">
        <f>5915+80</f>
        <v>5995</v>
      </c>
      <c r="I242" s="78">
        <v>3840.35414</v>
      </c>
      <c r="J242" s="78">
        <f t="shared" si="18"/>
        <v>64.05928507089241</v>
      </c>
    </row>
    <row r="243" spans="1:10" ht="33" customHeight="1" outlineLevel="2">
      <c r="A243" s="112" t="s">
        <v>209</v>
      </c>
      <c r="B243" s="18" t="s">
        <v>46</v>
      </c>
      <c r="C243" s="18" t="s">
        <v>96</v>
      </c>
      <c r="D243" s="18" t="s">
        <v>29</v>
      </c>
      <c r="E243" s="54">
        <v>0</v>
      </c>
      <c r="F243" s="31">
        <v>600</v>
      </c>
      <c r="G243" s="52"/>
      <c r="H243" s="78">
        <f>37.6</f>
        <v>37.6</v>
      </c>
      <c r="I243" s="78">
        <v>6.61937</v>
      </c>
      <c r="J243" s="78">
        <f t="shared" si="18"/>
        <v>17.60470744680851</v>
      </c>
    </row>
    <row r="244" spans="1:10" ht="15.75" outlineLevel="5">
      <c r="A244" s="113" t="s">
        <v>92</v>
      </c>
      <c r="B244" s="18" t="s">
        <v>46</v>
      </c>
      <c r="C244" s="18" t="s">
        <v>96</v>
      </c>
      <c r="D244" s="18" t="s">
        <v>29</v>
      </c>
      <c r="E244" s="54">
        <v>0</v>
      </c>
      <c r="F244" s="65"/>
      <c r="G244" s="52">
        <f>SUM(G245)</f>
        <v>0</v>
      </c>
      <c r="H244" s="78">
        <f>SUM(H245)</f>
        <v>722</v>
      </c>
      <c r="I244" s="78">
        <f>SUM(I245)</f>
        <v>311.2034</v>
      </c>
      <c r="J244" s="78">
        <f t="shared" si="18"/>
        <v>43.10296398891967</v>
      </c>
    </row>
    <row r="245" spans="1:10" ht="39" customHeight="1" outlineLevel="1">
      <c r="A245" s="112" t="s">
        <v>203</v>
      </c>
      <c r="B245" s="18" t="s">
        <v>46</v>
      </c>
      <c r="C245" s="18" t="s">
        <v>96</v>
      </c>
      <c r="D245" s="18" t="s">
        <v>29</v>
      </c>
      <c r="E245" s="54">
        <v>0</v>
      </c>
      <c r="F245" s="65">
        <v>600</v>
      </c>
      <c r="G245" s="52"/>
      <c r="H245" s="78">
        <v>722</v>
      </c>
      <c r="I245" s="78">
        <v>311.2034</v>
      </c>
      <c r="J245" s="78">
        <f t="shared" si="18"/>
        <v>43.10296398891967</v>
      </c>
    </row>
    <row r="246" spans="1:10" ht="15.75" outlineLevel="2">
      <c r="A246" s="113" t="s">
        <v>93</v>
      </c>
      <c r="B246" s="18" t="s">
        <v>46</v>
      </c>
      <c r="C246" s="18" t="s">
        <v>96</v>
      </c>
      <c r="D246" s="18" t="s">
        <v>29</v>
      </c>
      <c r="E246" s="54">
        <v>0</v>
      </c>
      <c r="F246" s="65"/>
      <c r="G246" s="52">
        <f>SUM(G247:G248)</f>
        <v>0</v>
      </c>
      <c r="H246" s="78">
        <f>SUM(H247:H248)</f>
        <v>895</v>
      </c>
      <c r="I246" s="78">
        <f>SUM(I247:I248)</f>
        <v>515.98394</v>
      </c>
      <c r="J246" s="78">
        <f t="shared" si="18"/>
        <v>57.65183687150838</v>
      </c>
    </row>
    <row r="247" spans="1:10" ht="36.75" customHeight="1" outlineLevel="5">
      <c r="A247" s="112" t="s">
        <v>203</v>
      </c>
      <c r="B247" s="18" t="s">
        <v>46</v>
      </c>
      <c r="C247" s="18" t="s">
        <v>96</v>
      </c>
      <c r="D247" s="18" t="s">
        <v>29</v>
      </c>
      <c r="E247" s="54">
        <v>0</v>
      </c>
      <c r="F247" s="65">
        <v>600</v>
      </c>
      <c r="G247" s="52"/>
      <c r="H247" s="78">
        <v>895</v>
      </c>
      <c r="I247" s="78">
        <v>515.98394</v>
      </c>
      <c r="J247" s="78">
        <f t="shared" si="18"/>
        <v>57.65183687150838</v>
      </c>
    </row>
    <row r="248" spans="1:10" ht="31.5" outlineLevel="3">
      <c r="A248" s="113" t="s">
        <v>191</v>
      </c>
      <c r="B248" s="18" t="s">
        <v>46</v>
      </c>
      <c r="C248" s="18" t="s">
        <v>96</v>
      </c>
      <c r="D248" s="18" t="s">
        <v>29</v>
      </c>
      <c r="E248" s="54">
        <v>0</v>
      </c>
      <c r="F248" s="65"/>
      <c r="G248" s="52">
        <f>SUM(G249)</f>
        <v>0</v>
      </c>
      <c r="H248" s="78">
        <f>SUM(H249)</f>
        <v>0</v>
      </c>
      <c r="I248" s="78">
        <f>SUM(I249)</f>
        <v>0</v>
      </c>
      <c r="J248" s="78">
        <v>0</v>
      </c>
    </row>
    <row r="249" spans="1:10" ht="64.5" customHeight="1" outlineLevel="3">
      <c r="A249" s="113" t="s">
        <v>190</v>
      </c>
      <c r="B249" s="18" t="s">
        <v>46</v>
      </c>
      <c r="C249" s="18" t="s">
        <v>96</v>
      </c>
      <c r="D249" s="18" t="s">
        <v>29</v>
      </c>
      <c r="E249" s="54">
        <v>0</v>
      </c>
      <c r="F249" s="65">
        <v>600</v>
      </c>
      <c r="G249" s="52"/>
      <c r="H249" s="78">
        <v>0</v>
      </c>
      <c r="I249" s="78">
        <v>0</v>
      </c>
      <c r="J249" s="78">
        <v>0</v>
      </c>
    </row>
    <row r="250" spans="1:10" ht="15.75" outlineLevel="3">
      <c r="A250" s="113" t="s">
        <v>94</v>
      </c>
      <c r="B250" s="18" t="s">
        <v>46</v>
      </c>
      <c r="C250" s="18" t="s">
        <v>97</v>
      </c>
      <c r="D250" s="18" t="s">
        <v>29</v>
      </c>
      <c r="E250" s="54">
        <v>0</v>
      </c>
      <c r="F250" s="65"/>
      <c r="G250" s="52">
        <f>SUM(G251)</f>
        <v>0</v>
      </c>
      <c r="H250" s="78">
        <f>SUM(H251)</f>
        <v>259</v>
      </c>
      <c r="I250" s="78">
        <f>SUM(I251)</f>
        <v>111.98483</v>
      </c>
      <c r="J250" s="78">
        <f t="shared" si="18"/>
        <v>43.2373861003861</v>
      </c>
    </row>
    <row r="251" spans="1:10" ht="38.25" customHeight="1" outlineLevel="3">
      <c r="A251" s="112" t="s">
        <v>203</v>
      </c>
      <c r="B251" s="18" t="s">
        <v>46</v>
      </c>
      <c r="C251" s="18" t="s">
        <v>97</v>
      </c>
      <c r="D251" s="18" t="s">
        <v>29</v>
      </c>
      <c r="E251" s="54">
        <v>0</v>
      </c>
      <c r="F251" s="65">
        <v>600</v>
      </c>
      <c r="G251" s="52"/>
      <c r="H251" s="78">
        <v>259</v>
      </c>
      <c r="I251" s="78">
        <v>111.98483</v>
      </c>
      <c r="J251" s="78">
        <f t="shared" si="18"/>
        <v>43.2373861003861</v>
      </c>
    </row>
    <row r="252" spans="1:10" ht="31.5">
      <c r="A252" s="113" t="s">
        <v>95</v>
      </c>
      <c r="B252" s="18" t="s">
        <v>46</v>
      </c>
      <c r="C252" s="18" t="s">
        <v>98</v>
      </c>
      <c r="D252" s="18" t="s">
        <v>29</v>
      </c>
      <c r="E252" s="54">
        <v>0</v>
      </c>
      <c r="F252" s="65"/>
      <c r="G252" s="52">
        <f>SUM(G253)</f>
        <v>0</v>
      </c>
      <c r="H252" s="78">
        <f>SUM(H253)</f>
        <v>709</v>
      </c>
      <c r="I252" s="78">
        <f>SUM(I253)</f>
        <v>415.11219</v>
      </c>
      <c r="J252" s="78">
        <f aca="true" t="shared" si="19" ref="J252:J294">SUM(I252/H252)*100</f>
        <v>58.54896897038082</v>
      </c>
    </row>
    <row r="253" spans="1:10" ht="37.5" customHeight="1" outlineLevel="5">
      <c r="A253" s="112" t="s">
        <v>203</v>
      </c>
      <c r="B253" s="18" t="s">
        <v>46</v>
      </c>
      <c r="C253" s="18" t="s">
        <v>98</v>
      </c>
      <c r="D253" s="18" t="s">
        <v>29</v>
      </c>
      <c r="E253" s="54">
        <v>0</v>
      </c>
      <c r="F253" s="65">
        <v>600</v>
      </c>
      <c r="G253" s="52"/>
      <c r="H253" s="78">
        <v>709</v>
      </c>
      <c r="I253" s="78">
        <v>415.11219</v>
      </c>
      <c r="J253" s="78">
        <f t="shared" si="19"/>
        <v>58.54896897038082</v>
      </c>
    </row>
    <row r="254" spans="1:10" ht="15.75" outlineLevel="5">
      <c r="A254" s="112" t="s">
        <v>99</v>
      </c>
      <c r="B254" s="18" t="s">
        <v>46</v>
      </c>
      <c r="C254" s="18" t="s">
        <v>217</v>
      </c>
      <c r="D254" s="18"/>
      <c r="E254" s="54"/>
      <c r="F254" s="31"/>
      <c r="G254" s="52">
        <f>SUM(G255+G258+G269)</f>
        <v>1451.6</v>
      </c>
      <c r="H254" s="78">
        <f>SUM(H255+H258+H269)</f>
        <v>16276.560000000001</v>
      </c>
      <c r="I254" s="78">
        <f>SUM(I255+I258+I269)</f>
        <v>12154.49624</v>
      </c>
      <c r="J254" s="78">
        <f t="shared" si="19"/>
        <v>74.6748467735197</v>
      </c>
    </row>
    <row r="255" spans="1:10" ht="47.25" outlineLevel="5">
      <c r="A255" s="112" t="s">
        <v>101</v>
      </c>
      <c r="B255" s="18" t="s">
        <v>46</v>
      </c>
      <c r="C255" s="18" t="s">
        <v>102</v>
      </c>
      <c r="D255" s="18"/>
      <c r="E255" s="54"/>
      <c r="F255" s="31"/>
      <c r="G255" s="52">
        <f aca="true" t="shared" si="20" ref="G255:I256">SUM(G256)</f>
        <v>0</v>
      </c>
      <c r="H255" s="78">
        <f t="shared" si="20"/>
        <v>1400</v>
      </c>
      <c r="I255" s="78">
        <f t="shared" si="20"/>
        <v>465.85975</v>
      </c>
      <c r="J255" s="78">
        <f t="shared" si="19"/>
        <v>33.27569642857143</v>
      </c>
    </row>
    <row r="256" spans="1:10" ht="47.25" outlineLevel="5">
      <c r="A256" s="112" t="s">
        <v>202</v>
      </c>
      <c r="B256" s="18" t="s">
        <v>46</v>
      </c>
      <c r="C256" s="18" t="s">
        <v>102</v>
      </c>
      <c r="D256" s="18" t="s">
        <v>17</v>
      </c>
      <c r="E256" s="54">
        <v>0</v>
      </c>
      <c r="F256" s="31"/>
      <c r="G256" s="52">
        <f t="shared" si="20"/>
        <v>0</v>
      </c>
      <c r="H256" s="78">
        <f t="shared" si="20"/>
        <v>1400</v>
      </c>
      <c r="I256" s="78">
        <f t="shared" si="20"/>
        <v>465.85975</v>
      </c>
      <c r="J256" s="78">
        <f t="shared" si="19"/>
        <v>33.27569642857143</v>
      </c>
    </row>
    <row r="257" spans="1:10" ht="25.5" customHeight="1" outlineLevel="5">
      <c r="A257" s="112" t="s">
        <v>204</v>
      </c>
      <c r="B257" s="18" t="s">
        <v>46</v>
      </c>
      <c r="C257" s="18" t="s">
        <v>102</v>
      </c>
      <c r="D257" s="18" t="s">
        <v>17</v>
      </c>
      <c r="E257" s="54">
        <v>0</v>
      </c>
      <c r="F257" s="31">
        <v>300</v>
      </c>
      <c r="G257" s="52"/>
      <c r="H257" s="78">
        <v>1400</v>
      </c>
      <c r="I257" s="78">
        <v>465.85975</v>
      </c>
      <c r="J257" s="78">
        <f t="shared" si="19"/>
        <v>33.27569642857143</v>
      </c>
    </row>
    <row r="258" spans="1:10" ht="15.75" outlineLevel="5">
      <c r="A258" s="112" t="s">
        <v>104</v>
      </c>
      <c r="B258" s="18" t="s">
        <v>46</v>
      </c>
      <c r="C258" s="18" t="s">
        <v>106</v>
      </c>
      <c r="D258" s="18"/>
      <c r="E258" s="54"/>
      <c r="F258" s="31"/>
      <c r="G258" s="52">
        <f>SUM(G259+G261)</f>
        <v>1254</v>
      </c>
      <c r="H258" s="78">
        <f>SUM(H259+H261)</f>
        <v>11117.960000000001</v>
      </c>
      <c r="I258" s="78">
        <f>SUM(I259+I261)</f>
        <v>8697.10771</v>
      </c>
      <c r="J258" s="78">
        <f t="shared" si="19"/>
        <v>78.22575103706075</v>
      </c>
    </row>
    <row r="259" spans="1:10" ht="101.25" customHeight="1" outlineLevel="5">
      <c r="A259" s="112" t="s">
        <v>242</v>
      </c>
      <c r="B259" s="18" t="s">
        <v>46</v>
      </c>
      <c r="C259" s="18" t="s">
        <v>106</v>
      </c>
      <c r="D259" s="18" t="s">
        <v>8</v>
      </c>
      <c r="E259" s="54">
        <v>0</v>
      </c>
      <c r="F259" s="31"/>
      <c r="G259" s="52">
        <f>SUM(G260)</f>
        <v>0</v>
      </c>
      <c r="H259" s="78">
        <f>SUM(H260)</f>
        <v>495</v>
      </c>
      <c r="I259" s="78">
        <f>SUM(I260)</f>
        <v>185.919</v>
      </c>
      <c r="J259" s="78">
        <f t="shared" si="19"/>
        <v>37.55939393939394</v>
      </c>
    </row>
    <row r="260" spans="1:10" ht="31.5" outlineLevel="5">
      <c r="A260" s="112" t="s">
        <v>204</v>
      </c>
      <c r="B260" s="18" t="s">
        <v>46</v>
      </c>
      <c r="C260" s="18" t="s">
        <v>106</v>
      </c>
      <c r="D260" s="18" t="s">
        <v>8</v>
      </c>
      <c r="E260" s="54">
        <v>0</v>
      </c>
      <c r="F260" s="31">
        <v>300</v>
      </c>
      <c r="G260" s="52"/>
      <c r="H260" s="78">
        <v>495</v>
      </c>
      <c r="I260" s="78">
        <v>185.919</v>
      </c>
      <c r="J260" s="78">
        <f t="shared" si="19"/>
        <v>37.55939393939394</v>
      </c>
    </row>
    <row r="261" spans="1:10" ht="47.25" outlineLevel="5">
      <c r="A261" s="112" t="s">
        <v>202</v>
      </c>
      <c r="B261" s="18" t="s">
        <v>46</v>
      </c>
      <c r="C261" s="18" t="s">
        <v>106</v>
      </c>
      <c r="D261" s="18" t="s">
        <v>17</v>
      </c>
      <c r="E261" s="54">
        <v>0</v>
      </c>
      <c r="F261" s="31"/>
      <c r="G261" s="52">
        <f>SUM(G262+G266+G267+G268)</f>
        <v>1254</v>
      </c>
      <c r="H261" s="78">
        <f>SUM(H262+H266+H267+H268)</f>
        <v>10622.960000000001</v>
      </c>
      <c r="I261" s="78">
        <f>SUM(I262+I266+I267+I268)</f>
        <v>8511.18871</v>
      </c>
      <c r="J261" s="78">
        <f t="shared" si="19"/>
        <v>80.12068867810854</v>
      </c>
    </row>
    <row r="262" spans="1:10" ht="145.5" customHeight="1" outlineLevel="5">
      <c r="A262" s="112" t="s">
        <v>126</v>
      </c>
      <c r="B262" s="18" t="s">
        <v>46</v>
      </c>
      <c r="C262" s="18" t="s">
        <v>106</v>
      </c>
      <c r="D262" s="18" t="s">
        <v>17</v>
      </c>
      <c r="E262" s="54">
        <v>0</v>
      </c>
      <c r="F262" s="31"/>
      <c r="G262" s="52">
        <f>SUM(G263:G265)</f>
        <v>1254</v>
      </c>
      <c r="H262" s="78">
        <f>SUM(H263:H265)</f>
        <v>6671.56</v>
      </c>
      <c r="I262" s="78">
        <f>SUM(I263:I265)</f>
        <v>6618.2819</v>
      </c>
      <c r="J262" s="78">
        <f t="shared" si="19"/>
        <v>99.20141466163835</v>
      </c>
    </row>
    <row r="263" spans="1:10" ht="25.5" customHeight="1" outlineLevel="5">
      <c r="A263" s="112" t="s">
        <v>204</v>
      </c>
      <c r="B263" s="18" t="s">
        <v>46</v>
      </c>
      <c r="C263" s="18" t="s">
        <v>106</v>
      </c>
      <c r="D263" s="18" t="s">
        <v>17</v>
      </c>
      <c r="E263" s="54">
        <v>0</v>
      </c>
      <c r="F263" s="31">
        <v>300</v>
      </c>
      <c r="G263" s="52">
        <f>434.99097+1122+130.68976</f>
        <v>1687.68073</v>
      </c>
      <c r="H263" s="78">
        <f>4525.861-54.128+1556.99097+130.68976</f>
        <v>6159.41373</v>
      </c>
      <c r="I263" s="78">
        <v>6159.12698</v>
      </c>
      <c r="J263" s="78">
        <f t="shared" si="19"/>
        <v>99.99534452445363</v>
      </c>
    </row>
    <row r="264" spans="1:10" ht="81.75" customHeight="1" outlineLevel="5">
      <c r="A264" s="112" t="s">
        <v>118</v>
      </c>
      <c r="B264" s="18" t="s">
        <v>46</v>
      </c>
      <c r="C264" s="18" t="s">
        <v>106</v>
      </c>
      <c r="D264" s="18" t="s">
        <v>17</v>
      </c>
      <c r="E264" s="54">
        <v>0</v>
      </c>
      <c r="F264" s="31">
        <v>100</v>
      </c>
      <c r="G264" s="52">
        <v>-295.045</v>
      </c>
      <c r="H264" s="78">
        <f>643.2+79.756+12.644-295.045</f>
        <v>440.555</v>
      </c>
      <c r="I264" s="78">
        <v>390.50283</v>
      </c>
      <c r="J264" s="78">
        <f t="shared" si="19"/>
        <v>88.63883737558308</v>
      </c>
    </row>
    <row r="265" spans="1:10" ht="31.5" outlineLevel="5">
      <c r="A265" s="112" t="s">
        <v>119</v>
      </c>
      <c r="B265" s="18" t="s">
        <v>46</v>
      </c>
      <c r="C265" s="18" t="s">
        <v>106</v>
      </c>
      <c r="D265" s="18" t="s">
        <v>17</v>
      </c>
      <c r="E265" s="54">
        <v>0</v>
      </c>
      <c r="F265" s="31">
        <v>200</v>
      </c>
      <c r="G265" s="52">
        <f>-139.94597+1.31024</f>
        <v>-138.63573</v>
      </c>
      <c r="H265" s="78">
        <f>87.7+81.083+41.98-0.536-139.94597+1.31024</f>
        <v>71.59127000000001</v>
      </c>
      <c r="I265" s="78">
        <v>68.65209</v>
      </c>
      <c r="J265" s="78">
        <f t="shared" si="19"/>
        <v>95.89449942709494</v>
      </c>
    </row>
    <row r="266" spans="1:10" ht="122.25" customHeight="1" outlineLevel="5">
      <c r="A266" s="112" t="s">
        <v>127</v>
      </c>
      <c r="B266" s="18" t="s">
        <v>46</v>
      </c>
      <c r="C266" s="18" t="s">
        <v>106</v>
      </c>
      <c r="D266" s="18" t="s">
        <v>17</v>
      </c>
      <c r="E266" s="54">
        <v>0</v>
      </c>
      <c r="F266" s="31">
        <v>300</v>
      </c>
      <c r="G266" s="52"/>
      <c r="H266" s="78">
        <v>1447.5</v>
      </c>
      <c r="I266" s="78">
        <v>535.24944</v>
      </c>
      <c r="J266" s="78">
        <f t="shared" si="19"/>
        <v>36.97750880829016</v>
      </c>
    </row>
    <row r="267" spans="1:10" ht="114.75" customHeight="1" outlineLevel="5">
      <c r="A267" s="112" t="s">
        <v>128</v>
      </c>
      <c r="B267" s="18" t="s">
        <v>46</v>
      </c>
      <c r="C267" s="18" t="s">
        <v>106</v>
      </c>
      <c r="D267" s="18" t="s">
        <v>17</v>
      </c>
      <c r="E267" s="54">
        <v>0</v>
      </c>
      <c r="F267" s="31">
        <v>300</v>
      </c>
      <c r="G267" s="52"/>
      <c r="H267" s="78">
        <v>18.6</v>
      </c>
      <c r="I267" s="78">
        <v>11.85385</v>
      </c>
      <c r="J267" s="78">
        <f t="shared" si="19"/>
        <v>63.73037634408602</v>
      </c>
    </row>
    <row r="268" spans="1:10" ht="137.25" customHeight="1" outlineLevel="5">
      <c r="A268" s="112" t="s">
        <v>129</v>
      </c>
      <c r="B268" s="18" t="s">
        <v>46</v>
      </c>
      <c r="C268" s="18" t="s">
        <v>106</v>
      </c>
      <c r="D268" s="18" t="s">
        <v>17</v>
      </c>
      <c r="E268" s="54">
        <v>0</v>
      </c>
      <c r="F268" s="31">
        <v>300</v>
      </c>
      <c r="G268" s="52"/>
      <c r="H268" s="78">
        <v>2485.3</v>
      </c>
      <c r="I268" s="78">
        <v>1345.80352</v>
      </c>
      <c r="J268" s="78">
        <f t="shared" si="19"/>
        <v>54.15054601054198</v>
      </c>
    </row>
    <row r="269" spans="1:10" ht="15.75">
      <c r="A269" s="112" t="s">
        <v>105</v>
      </c>
      <c r="B269" s="18" t="s">
        <v>46</v>
      </c>
      <c r="C269" s="18" t="s">
        <v>107</v>
      </c>
      <c r="D269" s="18"/>
      <c r="E269" s="54"/>
      <c r="F269" s="31"/>
      <c r="G269" s="52">
        <f>SUM(G270)</f>
        <v>197.60000000000002</v>
      </c>
      <c r="H269" s="78">
        <f>SUM(H270)</f>
        <v>3758.6</v>
      </c>
      <c r="I269" s="78">
        <f>SUM(I270)</f>
        <v>2991.52878</v>
      </c>
      <c r="J269" s="78">
        <f t="shared" si="19"/>
        <v>79.59157079763742</v>
      </c>
    </row>
    <row r="270" spans="1:10" ht="47.25">
      <c r="A270" s="112" t="s">
        <v>202</v>
      </c>
      <c r="B270" s="18" t="s">
        <v>46</v>
      </c>
      <c r="C270" s="18" t="s">
        <v>107</v>
      </c>
      <c r="D270" s="18" t="s">
        <v>17</v>
      </c>
      <c r="E270" s="54">
        <v>0</v>
      </c>
      <c r="F270" s="31"/>
      <c r="G270" s="52">
        <f>SUM(G271+G274)</f>
        <v>197.60000000000002</v>
      </c>
      <c r="H270" s="78">
        <f>SUM(H271+H274)</f>
        <v>3758.6</v>
      </c>
      <c r="I270" s="78">
        <f>SUM(I271+I274)</f>
        <v>2991.52878</v>
      </c>
      <c r="J270" s="78">
        <f t="shared" si="19"/>
        <v>79.59157079763742</v>
      </c>
    </row>
    <row r="271" spans="1:10" ht="204.75" customHeight="1">
      <c r="A271" s="112" t="s">
        <v>130</v>
      </c>
      <c r="B271" s="18" t="s">
        <v>46</v>
      </c>
      <c r="C271" s="18" t="s">
        <v>107</v>
      </c>
      <c r="D271" s="18" t="s">
        <v>17</v>
      </c>
      <c r="E271" s="54">
        <v>0</v>
      </c>
      <c r="F271" s="31"/>
      <c r="G271" s="52">
        <f>SUM(G272:G273)</f>
        <v>0</v>
      </c>
      <c r="H271" s="78">
        <f>SUM(H272:H273)</f>
        <v>1186.5</v>
      </c>
      <c r="I271" s="78">
        <f>SUM(I272:I273)</f>
        <v>419.42878</v>
      </c>
      <c r="J271" s="78">
        <f t="shared" si="19"/>
        <v>35.35008680994522</v>
      </c>
    </row>
    <row r="272" spans="1:10" ht="15.75">
      <c r="A272" s="112" t="s">
        <v>103</v>
      </c>
      <c r="B272" s="18" t="s">
        <v>46</v>
      </c>
      <c r="C272" s="18" t="s">
        <v>107</v>
      </c>
      <c r="D272" s="18" t="s">
        <v>17</v>
      </c>
      <c r="E272" s="54">
        <v>0</v>
      </c>
      <c r="F272" s="31">
        <v>300</v>
      </c>
      <c r="G272" s="52"/>
      <c r="H272" s="78">
        <v>1174.75</v>
      </c>
      <c r="I272" s="78">
        <v>415.30791</v>
      </c>
      <c r="J272" s="78">
        <f t="shared" si="19"/>
        <v>35.35287593104916</v>
      </c>
    </row>
    <row r="273" spans="1:10" ht="31.5">
      <c r="A273" s="112" t="s">
        <v>119</v>
      </c>
      <c r="B273" s="18" t="s">
        <v>46</v>
      </c>
      <c r="C273" s="18" t="s">
        <v>107</v>
      </c>
      <c r="D273" s="18" t="s">
        <v>17</v>
      </c>
      <c r="E273" s="54">
        <v>0</v>
      </c>
      <c r="F273" s="31">
        <v>200</v>
      </c>
      <c r="G273" s="52"/>
      <c r="H273" s="78">
        <v>11.75</v>
      </c>
      <c r="I273" s="78">
        <v>4.12087</v>
      </c>
      <c r="J273" s="78">
        <f t="shared" si="19"/>
        <v>35.071234042553186</v>
      </c>
    </row>
    <row r="274" spans="1:10" ht="173.25" customHeight="1">
      <c r="A274" s="112" t="s">
        <v>131</v>
      </c>
      <c r="B274" s="18" t="s">
        <v>46</v>
      </c>
      <c r="C274" s="18" t="s">
        <v>107</v>
      </c>
      <c r="D274" s="18" t="s">
        <v>17</v>
      </c>
      <c r="E274" s="54">
        <v>0</v>
      </c>
      <c r="F274" s="31"/>
      <c r="G274" s="52">
        <f>SUM(G275:G276)</f>
        <v>197.60000000000002</v>
      </c>
      <c r="H274" s="78">
        <f>SUM(H275:H276)</f>
        <v>2572.1</v>
      </c>
      <c r="I274" s="78">
        <f>SUM(I275:I276)</f>
        <v>2572.1</v>
      </c>
      <c r="J274" s="78">
        <f t="shared" si="19"/>
        <v>100</v>
      </c>
    </row>
    <row r="275" spans="1:10" ht="23.25" customHeight="1">
      <c r="A275" s="112" t="s">
        <v>132</v>
      </c>
      <c r="B275" s="18" t="s">
        <v>46</v>
      </c>
      <c r="C275" s="18" t="s">
        <v>107</v>
      </c>
      <c r="D275" s="18" t="s">
        <v>17</v>
      </c>
      <c r="E275" s="54">
        <v>0</v>
      </c>
      <c r="F275" s="31">
        <v>300</v>
      </c>
      <c r="G275" s="52">
        <v>118.4</v>
      </c>
      <c r="H275" s="78">
        <f>2031.6+118.4</f>
        <v>2150</v>
      </c>
      <c r="I275" s="78">
        <v>2150</v>
      </c>
      <c r="J275" s="78">
        <f t="shared" si="19"/>
        <v>100</v>
      </c>
    </row>
    <row r="276" spans="1:10" ht="48.75" customHeight="1">
      <c r="A276" s="112" t="s">
        <v>133</v>
      </c>
      <c r="B276" s="18" t="s">
        <v>46</v>
      </c>
      <c r="C276" s="18" t="s">
        <v>107</v>
      </c>
      <c r="D276" s="18" t="s">
        <v>17</v>
      </c>
      <c r="E276" s="54">
        <v>0</v>
      </c>
      <c r="F276" s="31">
        <v>300</v>
      </c>
      <c r="G276" s="52">
        <f>7.7+71.5</f>
        <v>79.2</v>
      </c>
      <c r="H276" s="78">
        <f>342.9+7.7+71.5</f>
        <v>422.09999999999997</v>
      </c>
      <c r="I276" s="78">
        <v>422.1</v>
      </c>
      <c r="J276" s="78">
        <f t="shared" si="19"/>
        <v>100.00000000000003</v>
      </c>
    </row>
    <row r="277" spans="1:10" ht="15.75">
      <c r="A277" s="112" t="s">
        <v>108</v>
      </c>
      <c r="B277" s="18" t="s">
        <v>46</v>
      </c>
      <c r="C277" s="18" t="s">
        <v>164</v>
      </c>
      <c r="D277" s="18"/>
      <c r="E277" s="54"/>
      <c r="F277" s="31"/>
      <c r="G277" s="52">
        <f aca="true" t="shared" si="21" ref="G277:I278">SUM(G278)</f>
        <v>0</v>
      </c>
      <c r="H277" s="78">
        <f t="shared" si="21"/>
        <v>760</v>
      </c>
      <c r="I277" s="78">
        <f t="shared" si="21"/>
        <v>536.18477</v>
      </c>
      <c r="J277" s="78">
        <f t="shared" si="19"/>
        <v>70.55062763157895</v>
      </c>
    </row>
    <row r="278" spans="1:10" ht="46.5" customHeight="1">
      <c r="A278" s="112" t="s">
        <v>197</v>
      </c>
      <c r="B278" s="18" t="s">
        <v>46</v>
      </c>
      <c r="C278" s="18" t="s">
        <v>109</v>
      </c>
      <c r="D278" s="18" t="s">
        <v>21</v>
      </c>
      <c r="E278" s="54">
        <v>0</v>
      </c>
      <c r="F278" s="31"/>
      <c r="G278" s="52">
        <f t="shared" si="21"/>
        <v>0</v>
      </c>
      <c r="H278" s="78">
        <f t="shared" si="21"/>
        <v>760</v>
      </c>
      <c r="I278" s="78">
        <f t="shared" si="21"/>
        <v>536.18477</v>
      </c>
      <c r="J278" s="78">
        <f t="shared" si="19"/>
        <v>70.55062763157895</v>
      </c>
    </row>
    <row r="279" spans="1:10" ht="31.5">
      <c r="A279" s="112" t="s">
        <v>119</v>
      </c>
      <c r="B279" s="18" t="s">
        <v>46</v>
      </c>
      <c r="C279" s="18" t="s">
        <v>109</v>
      </c>
      <c r="D279" s="18" t="s">
        <v>21</v>
      </c>
      <c r="E279" s="54">
        <v>0</v>
      </c>
      <c r="F279" s="31">
        <v>200</v>
      </c>
      <c r="G279" s="52"/>
      <c r="H279" s="78">
        <f>700+60</f>
        <v>760</v>
      </c>
      <c r="I279" s="78">
        <v>536.18477</v>
      </c>
      <c r="J279" s="78">
        <f t="shared" si="19"/>
        <v>70.55062763157895</v>
      </c>
    </row>
    <row r="280" spans="1:10" ht="15.75">
      <c r="A280" s="112" t="s">
        <v>110</v>
      </c>
      <c r="B280" s="18" t="s">
        <v>46</v>
      </c>
      <c r="C280" s="18" t="s">
        <v>166</v>
      </c>
      <c r="D280" s="18"/>
      <c r="E280" s="54"/>
      <c r="F280" s="31"/>
      <c r="G280" s="52">
        <f>SUM(G281+G282)</f>
        <v>0</v>
      </c>
      <c r="H280" s="78">
        <f>SUM(H283)</f>
        <v>1877.551</v>
      </c>
      <c r="I280" s="78">
        <f>SUM(I283)</f>
        <v>1289.551</v>
      </c>
      <c r="J280" s="78">
        <f t="shared" si="19"/>
        <v>68.68260835524575</v>
      </c>
    </row>
    <row r="281" spans="1:10" ht="15.75">
      <c r="A281" s="112" t="s">
        <v>277</v>
      </c>
      <c r="B281" s="18" t="s">
        <v>46</v>
      </c>
      <c r="C281" s="18" t="s">
        <v>278</v>
      </c>
      <c r="D281" s="18"/>
      <c r="E281" s="54"/>
      <c r="F281" s="130"/>
      <c r="G281" s="52"/>
      <c r="H281" s="78">
        <v>0</v>
      </c>
      <c r="I281" s="78">
        <v>0</v>
      </c>
      <c r="J281" s="78">
        <v>0</v>
      </c>
    </row>
    <row r="282" spans="1:10" ht="15.75">
      <c r="A282" s="112" t="s">
        <v>111</v>
      </c>
      <c r="B282" s="18" t="s">
        <v>46</v>
      </c>
      <c r="C282" s="18" t="s">
        <v>112</v>
      </c>
      <c r="D282" s="18"/>
      <c r="E282" s="54"/>
      <c r="F282" s="130"/>
      <c r="G282" s="52">
        <f>SUM(G283)</f>
        <v>0</v>
      </c>
      <c r="H282" s="78">
        <f>SUM(H283)</f>
        <v>1877.551</v>
      </c>
      <c r="I282" s="78">
        <f>SUM(I283)</f>
        <v>1289.551</v>
      </c>
      <c r="J282" s="78">
        <f t="shared" si="19"/>
        <v>68.68260835524575</v>
      </c>
    </row>
    <row r="283" spans="1:10" ht="50.25" customHeight="1">
      <c r="A283" s="112" t="s">
        <v>249</v>
      </c>
      <c r="B283" s="18" t="s">
        <v>46</v>
      </c>
      <c r="C283" s="18" t="s">
        <v>112</v>
      </c>
      <c r="D283" s="18" t="s">
        <v>169</v>
      </c>
      <c r="E283" s="54">
        <v>0</v>
      </c>
      <c r="F283" s="31"/>
      <c r="G283" s="52">
        <f>SUM(G284:G285)</f>
        <v>0</v>
      </c>
      <c r="H283" s="78">
        <f>SUM(H284:H285)</f>
        <v>1877.551</v>
      </c>
      <c r="I283" s="78">
        <f>SUM(I284:I285)</f>
        <v>1289.551</v>
      </c>
      <c r="J283" s="78">
        <f t="shared" si="19"/>
        <v>68.68260835524575</v>
      </c>
    </row>
    <row r="284" spans="1:10" ht="42" customHeight="1">
      <c r="A284" s="112" t="s">
        <v>203</v>
      </c>
      <c r="B284" s="18" t="s">
        <v>46</v>
      </c>
      <c r="C284" s="18" t="s">
        <v>112</v>
      </c>
      <c r="D284" s="18" t="s">
        <v>169</v>
      </c>
      <c r="E284" s="54">
        <v>0</v>
      </c>
      <c r="F284" s="31">
        <v>600</v>
      </c>
      <c r="G284" s="52"/>
      <c r="H284" s="78">
        <v>700</v>
      </c>
      <c r="I284" s="78">
        <v>112</v>
      </c>
      <c r="J284" s="78">
        <f t="shared" si="19"/>
        <v>16</v>
      </c>
    </row>
    <row r="285" spans="1:10" ht="139.5" customHeight="1">
      <c r="A285" s="112" t="s">
        <v>297</v>
      </c>
      <c r="B285" s="18" t="s">
        <v>46</v>
      </c>
      <c r="C285" s="18" t="s">
        <v>112</v>
      </c>
      <c r="D285" s="18" t="s">
        <v>169</v>
      </c>
      <c r="E285" s="54">
        <v>0</v>
      </c>
      <c r="F285" s="31">
        <v>600</v>
      </c>
      <c r="G285" s="52"/>
      <c r="H285" s="78">
        <v>1177.551</v>
      </c>
      <c r="I285" s="78">
        <v>1177.551</v>
      </c>
      <c r="J285" s="78">
        <f t="shared" si="19"/>
        <v>100</v>
      </c>
    </row>
    <row r="286" spans="1:10" ht="31.5">
      <c r="A286" s="112" t="s">
        <v>113</v>
      </c>
      <c r="B286" s="18" t="s">
        <v>46</v>
      </c>
      <c r="C286" s="18" t="s">
        <v>167</v>
      </c>
      <c r="D286" s="18"/>
      <c r="E286" s="54"/>
      <c r="F286" s="31"/>
      <c r="G286" s="52">
        <f>SUM(G289)</f>
        <v>312.5</v>
      </c>
      <c r="H286" s="78">
        <f>SUM(H289)</f>
        <v>312.5</v>
      </c>
      <c r="I286" s="78">
        <f>SUM(I289)</f>
        <v>0</v>
      </c>
      <c r="J286" s="78">
        <f t="shared" si="19"/>
        <v>0</v>
      </c>
    </row>
    <row r="287" spans="1:10" ht="31.5">
      <c r="A287" s="112" t="s">
        <v>218</v>
      </c>
      <c r="B287" s="18" t="s">
        <v>46</v>
      </c>
      <c r="C287" s="18" t="s">
        <v>115</v>
      </c>
      <c r="D287" s="18"/>
      <c r="E287" s="54"/>
      <c r="F287" s="31"/>
      <c r="G287" s="52">
        <f aca="true" t="shared" si="22" ref="G287:I288">SUM(G288)</f>
        <v>312.5</v>
      </c>
      <c r="H287" s="78">
        <f t="shared" si="22"/>
        <v>312.5</v>
      </c>
      <c r="I287" s="78">
        <f t="shared" si="22"/>
        <v>0</v>
      </c>
      <c r="J287" s="78">
        <f t="shared" si="19"/>
        <v>0</v>
      </c>
    </row>
    <row r="288" spans="1:10" ht="47.25">
      <c r="A288" s="112" t="s">
        <v>202</v>
      </c>
      <c r="B288" s="18" t="s">
        <v>46</v>
      </c>
      <c r="C288" s="18" t="s">
        <v>115</v>
      </c>
      <c r="D288" s="18" t="s">
        <v>17</v>
      </c>
      <c r="E288" s="54">
        <v>0</v>
      </c>
      <c r="F288" s="31"/>
      <c r="G288" s="52">
        <f t="shared" si="22"/>
        <v>312.5</v>
      </c>
      <c r="H288" s="78">
        <f t="shared" si="22"/>
        <v>312.5</v>
      </c>
      <c r="I288" s="78">
        <f t="shared" si="22"/>
        <v>0</v>
      </c>
      <c r="J288" s="78">
        <f t="shared" si="19"/>
        <v>0</v>
      </c>
    </row>
    <row r="289" spans="1:10" ht="31.5">
      <c r="A289" s="112" t="s">
        <v>219</v>
      </c>
      <c r="B289" s="18" t="s">
        <v>46</v>
      </c>
      <c r="C289" s="18" t="s">
        <v>115</v>
      </c>
      <c r="D289" s="18" t="s">
        <v>17</v>
      </c>
      <c r="E289" s="54">
        <v>0</v>
      </c>
      <c r="F289" s="31">
        <v>700</v>
      </c>
      <c r="G289" s="52">
        <v>312.5</v>
      </c>
      <c r="H289" s="78">
        <v>312.5</v>
      </c>
      <c r="I289" s="78">
        <v>0</v>
      </c>
      <c r="J289" s="78">
        <f t="shared" si="19"/>
        <v>0</v>
      </c>
    </row>
    <row r="290" spans="1:10" ht="47.25">
      <c r="A290" s="112" t="s">
        <v>222</v>
      </c>
      <c r="B290" s="18" t="s">
        <v>46</v>
      </c>
      <c r="C290" s="18" t="s">
        <v>223</v>
      </c>
      <c r="D290" s="18"/>
      <c r="E290" s="54"/>
      <c r="F290" s="31"/>
      <c r="G290" s="52">
        <f>SUM(G291)</f>
        <v>0</v>
      </c>
      <c r="H290" s="78">
        <f aca="true" t="shared" si="23" ref="H290:I292">SUM(H291)</f>
        <v>4638</v>
      </c>
      <c r="I290" s="78">
        <f t="shared" si="23"/>
        <v>1656.1</v>
      </c>
      <c r="J290" s="78">
        <f t="shared" si="19"/>
        <v>35.70720137990513</v>
      </c>
    </row>
    <row r="291" spans="1:10" ht="22.5" customHeight="1">
      <c r="A291" s="112" t="s">
        <v>224</v>
      </c>
      <c r="B291" s="18" t="s">
        <v>46</v>
      </c>
      <c r="C291" s="18" t="s">
        <v>225</v>
      </c>
      <c r="D291" s="18"/>
      <c r="E291" s="54"/>
      <c r="F291" s="31"/>
      <c r="G291" s="52">
        <f>SUM(G292)</f>
        <v>0</v>
      </c>
      <c r="H291" s="78">
        <f t="shared" si="23"/>
        <v>4638</v>
      </c>
      <c r="I291" s="78">
        <f t="shared" si="23"/>
        <v>1656.1</v>
      </c>
      <c r="J291" s="78">
        <f t="shared" si="19"/>
        <v>35.70720137990513</v>
      </c>
    </row>
    <row r="292" spans="1:10" ht="47.25">
      <c r="A292" s="112" t="s">
        <v>202</v>
      </c>
      <c r="B292" s="18" t="s">
        <v>46</v>
      </c>
      <c r="C292" s="18" t="s">
        <v>225</v>
      </c>
      <c r="D292" s="18" t="s">
        <v>17</v>
      </c>
      <c r="E292" s="54">
        <v>0</v>
      </c>
      <c r="F292" s="31"/>
      <c r="G292" s="52">
        <f>SUM(G293)</f>
        <v>0</v>
      </c>
      <c r="H292" s="78">
        <f t="shared" si="23"/>
        <v>4638</v>
      </c>
      <c r="I292" s="78">
        <f t="shared" si="23"/>
        <v>1656.1</v>
      </c>
      <c r="J292" s="78">
        <f t="shared" si="19"/>
        <v>35.70720137990513</v>
      </c>
    </row>
    <row r="293" spans="1:10" ht="15.75">
      <c r="A293" s="112" t="s">
        <v>205</v>
      </c>
      <c r="B293" s="18" t="s">
        <v>46</v>
      </c>
      <c r="C293" s="18" t="s">
        <v>225</v>
      </c>
      <c r="D293" s="18" t="s">
        <v>17</v>
      </c>
      <c r="E293" s="54">
        <v>0</v>
      </c>
      <c r="F293" s="31">
        <v>500</v>
      </c>
      <c r="G293" s="52"/>
      <c r="H293" s="78">
        <f>4323+315</f>
        <v>4638</v>
      </c>
      <c r="I293" s="78">
        <v>1656.1</v>
      </c>
      <c r="J293" s="78">
        <f t="shared" si="19"/>
        <v>35.70720137990513</v>
      </c>
    </row>
    <row r="294" spans="1:10" ht="15.75">
      <c r="A294" s="112" t="s">
        <v>116</v>
      </c>
      <c r="B294" s="18"/>
      <c r="C294" s="18"/>
      <c r="D294" s="18"/>
      <c r="E294" s="54"/>
      <c r="F294" s="31"/>
      <c r="G294" s="52">
        <f>SUM(G11+G19+G27)</f>
        <v>7619.200000000001</v>
      </c>
      <c r="H294" s="78">
        <f>SUM(H11+H19+H27)</f>
        <v>283282.67497</v>
      </c>
      <c r="I294" s="78">
        <f>SUM(I11+I19+I27)</f>
        <v>145948.46228000004</v>
      </c>
      <c r="J294" s="78">
        <f t="shared" si="19"/>
        <v>51.52043353708665</v>
      </c>
    </row>
  </sheetData>
  <sheetProtection/>
  <mergeCells count="7">
    <mergeCell ref="G1:J1"/>
    <mergeCell ref="E5:J5"/>
    <mergeCell ref="A7:J7"/>
    <mergeCell ref="F4:J4"/>
    <mergeCell ref="F2:J2"/>
    <mergeCell ref="F3:J3"/>
    <mergeCell ref="E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88"/>
  <sheetViews>
    <sheetView showGridLines="0" zoomScalePageLayoutView="0" workbookViewId="0" topLeftCell="A1">
      <pane ySplit="9" topLeftCell="BM278" activePane="bottomLeft" state="frozen"/>
      <selection pane="topLeft" activeCell="A1" sqref="A1"/>
      <selection pane="bottomLeft" activeCell="I290" sqref="I290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9.28125" style="12" customWidth="1"/>
    <col min="4" max="4" width="4.28125" style="13" customWidth="1"/>
    <col min="5" max="5" width="5.00390625" style="11" customWidth="1"/>
    <col min="6" max="6" width="12.140625" style="15" hidden="1" customWidth="1"/>
    <col min="7" max="8" width="12.7109375" style="15" customWidth="1"/>
    <col min="9" max="9" width="14.421875" style="15" customWidth="1"/>
    <col min="10" max="16384" width="9.140625" style="2" customWidth="1"/>
  </cols>
  <sheetData>
    <row r="1" spans="1:12" ht="18.75">
      <c r="A1" s="26"/>
      <c r="B1" s="27"/>
      <c r="C1" s="134" t="s">
        <v>172</v>
      </c>
      <c r="D1" s="134"/>
      <c r="E1" s="134"/>
      <c r="F1" s="134"/>
      <c r="G1" s="134"/>
      <c r="H1" s="134"/>
      <c r="I1" s="134"/>
      <c r="J1" s="25"/>
      <c r="K1" s="25"/>
      <c r="L1" s="25"/>
    </row>
    <row r="2" spans="1:12" ht="18.75">
      <c r="A2" s="26"/>
      <c r="B2" s="134" t="s">
        <v>170</v>
      </c>
      <c r="C2" s="134"/>
      <c r="D2" s="134"/>
      <c r="E2" s="134"/>
      <c r="F2" s="134"/>
      <c r="G2" s="134"/>
      <c r="H2" s="134"/>
      <c r="I2" s="134"/>
      <c r="J2" s="25"/>
      <c r="K2" s="25"/>
      <c r="L2" s="25"/>
    </row>
    <row r="3" spans="1:12" ht="18.75">
      <c r="A3" s="26"/>
      <c r="B3" s="27"/>
      <c r="C3" s="27"/>
      <c r="D3" s="28"/>
      <c r="E3" s="134" t="s">
        <v>171</v>
      </c>
      <c r="F3" s="134"/>
      <c r="G3" s="134"/>
      <c r="H3" s="134"/>
      <c r="I3" s="134"/>
      <c r="J3" s="25"/>
      <c r="K3" s="25"/>
      <c r="L3" s="25"/>
    </row>
    <row r="4" spans="1:12" ht="18.75">
      <c r="A4" s="134" t="s">
        <v>189</v>
      </c>
      <c r="B4" s="134"/>
      <c r="C4" s="134"/>
      <c r="D4" s="134"/>
      <c r="E4" s="134"/>
      <c r="F4" s="134"/>
      <c r="G4" s="134"/>
      <c r="H4" s="134"/>
      <c r="I4" s="134"/>
      <c r="J4" s="25"/>
      <c r="K4" s="25"/>
      <c r="L4" s="25"/>
    </row>
    <row r="5" spans="1:9" ht="15">
      <c r="A5" s="8"/>
      <c r="B5" s="1"/>
      <c r="C5" s="1"/>
      <c r="D5" s="5"/>
      <c r="E5" s="10"/>
      <c r="F5" s="137"/>
      <c r="G5" s="137"/>
      <c r="H5" s="137"/>
      <c r="I5" s="137"/>
    </row>
    <row r="6" spans="1:9" ht="33" customHeight="1">
      <c r="A6" s="136" t="s">
        <v>194</v>
      </c>
      <c r="B6" s="136"/>
      <c r="C6" s="136"/>
      <c r="D6" s="136"/>
      <c r="E6" s="136"/>
      <c r="F6" s="136"/>
      <c r="G6" s="136"/>
      <c r="H6" s="136"/>
      <c r="I6" s="136"/>
    </row>
    <row r="7" spans="1:9" ht="12.75">
      <c r="A7" s="55"/>
      <c r="B7" s="56"/>
      <c r="C7" s="56"/>
      <c r="D7" s="57"/>
      <c r="E7" s="59"/>
      <c r="F7" s="58"/>
      <c r="G7" s="58"/>
      <c r="H7" s="58"/>
      <c r="I7" s="58"/>
    </row>
    <row r="8" spans="1:9" ht="12.75">
      <c r="A8" s="55"/>
      <c r="B8" s="56"/>
      <c r="C8" s="56"/>
      <c r="D8" s="57"/>
      <c r="E8" s="59"/>
      <c r="F8" s="58"/>
      <c r="G8" s="58"/>
      <c r="H8" s="58"/>
      <c r="I8" s="60" t="s">
        <v>192</v>
      </c>
    </row>
    <row r="9" spans="1:9" ht="87.75" customHeight="1">
      <c r="A9" s="72" t="s">
        <v>1</v>
      </c>
      <c r="B9" s="64" t="s">
        <v>199</v>
      </c>
      <c r="C9" s="80" t="s">
        <v>200</v>
      </c>
      <c r="D9" s="81" t="s">
        <v>9</v>
      </c>
      <c r="E9" s="82" t="s">
        <v>201</v>
      </c>
      <c r="F9" s="71" t="s">
        <v>275</v>
      </c>
      <c r="G9" s="71" t="s">
        <v>276</v>
      </c>
      <c r="H9" s="73" t="s">
        <v>324</v>
      </c>
      <c r="I9" s="73" t="s">
        <v>323</v>
      </c>
    </row>
    <row r="10" spans="1:9" s="4" customFormat="1" ht="15.75" outlineLevel="3">
      <c r="A10" s="53" t="str">
        <f>'Приложение 3'!A12</f>
        <v>ОБЩЕГОСУДАРСТВЕННЫЕ ВОПРОСЫ</v>
      </c>
      <c r="B10" s="46" t="str">
        <f>'Приложение 3'!C12</f>
        <v>0100</v>
      </c>
      <c r="C10" s="46"/>
      <c r="D10" s="46"/>
      <c r="E10" s="46"/>
      <c r="F10" s="47">
        <f>SUM(F11+F20+F52+F56+F59+F14+F46)</f>
        <v>1577.227</v>
      </c>
      <c r="G10" s="47">
        <f>SUM(G11+G20+G52+G56+G59+G14+G46)</f>
        <v>69852.02084</v>
      </c>
      <c r="H10" s="47">
        <f>SUM(H11+H20+H52+H56+H59+H14+H46)</f>
        <v>29794.33542</v>
      </c>
      <c r="I10" s="121">
        <f>SUM(H10/G10)*100</f>
        <v>42.653505312674646</v>
      </c>
    </row>
    <row r="11" spans="1:9" s="4" customFormat="1" ht="38.25" outlineLevel="3">
      <c r="A11" s="53" t="str">
        <f>'Приложение 3'!A29</f>
        <v>Функционирование высшего должностного лица субъекта Российской Федерации и муниципального образования</v>
      </c>
      <c r="B11" s="46" t="str">
        <f>'Приложение 3'!C29</f>
        <v>0102</v>
      </c>
      <c r="C11" s="46"/>
      <c r="D11" s="46"/>
      <c r="E11" s="46"/>
      <c r="F11" s="47">
        <f aca="true" t="shared" si="0" ref="F11:H12">SUM(F12)</f>
        <v>0</v>
      </c>
      <c r="G11" s="47">
        <f t="shared" si="0"/>
        <v>600</v>
      </c>
      <c r="H11" s="47">
        <f t="shared" si="0"/>
        <v>430.75974</v>
      </c>
      <c r="I11" s="121">
        <f aca="true" t="shared" si="1" ref="I11:I74">SUM(H11/G11)*100</f>
        <v>71.79329</v>
      </c>
    </row>
    <row r="12" spans="1:9" s="4" customFormat="1" ht="38.25" outlineLevel="3">
      <c r="A12" s="53" t="str">
        <f>'Приложение 3'!A30</f>
        <v>Непрограммные направления обеспечения деятельности органов местного самоуправления Алексеевского муниципального района</v>
      </c>
      <c r="B12" s="46" t="str">
        <f>'Приложение 3'!C30</f>
        <v>0102</v>
      </c>
      <c r="C12" s="46" t="s">
        <v>12</v>
      </c>
      <c r="D12" s="46" t="s">
        <v>10</v>
      </c>
      <c r="E12" s="46">
        <v>100</v>
      </c>
      <c r="F12" s="47">
        <f t="shared" si="0"/>
        <v>0</v>
      </c>
      <c r="G12" s="47">
        <f t="shared" si="0"/>
        <v>600</v>
      </c>
      <c r="H12" s="47">
        <f t="shared" si="0"/>
        <v>430.75974</v>
      </c>
      <c r="I12" s="121">
        <f t="shared" si="1"/>
        <v>71.79329</v>
      </c>
    </row>
    <row r="13" spans="1:9" ht="63.75" outlineLevel="1">
      <c r="A13" s="53" t="str">
        <f>'Приложение 3'!A31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46" t="str">
        <f>'Приложение 3'!C31</f>
        <v>0102</v>
      </c>
      <c r="C13" s="46" t="s">
        <v>12</v>
      </c>
      <c r="D13" s="46">
        <v>0</v>
      </c>
      <c r="E13" s="46">
        <v>100</v>
      </c>
      <c r="F13" s="47">
        <f>SUM('Приложение 3'!G31)</f>
        <v>0</v>
      </c>
      <c r="G13" s="47">
        <f>SUM('Приложение 3'!H31)</f>
        <v>600</v>
      </c>
      <c r="H13" s="47">
        <f>SUM('Приложение 3'!I31)</f>
        <v>430.75974</v>
      </c>
      <c r="I13" s="121">
        <f t="shared" si="1"/>
        <v>71.79329</v>
      </c>
    </row>
    <row r="14" spans="1:9" ht="42" customHeight="1" outlineLevel="1">
      <c r="A14" s="53" t="str">
        <f>'Приложение 3'!A13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46" t="str">
        <f>'Приложение 3'!C13</f>
        <v>0103</v>
      </c>
      <c r="C14" s="48"/>
      <c r="D14" s="46"/>
      <c r="E14" s="46"/>
      <c r="F14" s="47">
        <f>SUBTOTAL(9,'Приложение 3'!G12)</f>
        <v>0</v>
      </c>
      <c r="G14" s="47">
        <f>SUBTOTAL(9,'Приложение 3'!H12)</f>
        <v>380</v>
      </c>
      <c r="H14" s="47">
        <f>SUBTOTAL(9,'Приложение 3'!I12)</f>
        <v>180.53788</v>
      </c>
      <c r="I14" s="121">
        <f t="shared" si="1"/>
        <v>47.50996842105263</v>
      </c>
    </row>
    <row r="15" spans="1:9" ht="29.25" customHeight="1" outlineLevel="1">
      <c r="A15" s="53" t="str">
        <f>'Приложение 3'!A14</f>
        <v>Непрограммные направления обеспечения деятельности органов местного самоуправления Алексеевского муниципального района</v>
      </c>
      <c r="B15" s="46" t="str">
        <f>'Приложение 3'!C14</f>
        <v>0103</v>
      </c>
      <c r="C15" s="48"/>
      <c r="D15" s="46"/>
      <c r="E15" s="46"/>
      <c r="F15" s="47">
        <f>SUBTOTAL(9,'Приложение 3'!G13)</f>
        <v>0</v>
      </c>
      <c r="G15" s="47">
        <f>SUBTOTAL(9,'Приложение 3'!H13)</f>
        <v>380</v>
      </c>
      <c r="H15" s="47">
        <f>SUBTOTAL(9,'Приложение 3'!I13)</f>
        <v>180.53788</v>
      </c>
      <c r="I15" s="121">
        <f t="shared" si="1"/>
        <v>47.50996842105263</v>
      </c>
    </row>
    <row r="16" spans="1:9" ht="63.75" outlineLevel="1">
      <c r="A16" s="53" t="str">
        <f>'Приложение 3'!A15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46" t="str">
        <f>'Приложение 3'!C15</f>
        <v>0103</v>
      </c>
      <c r="C16" s="46" t="str">
        <f>'Приложение 3'!D15</f>
        <v>90</v>
      </c>
      <c r="D16" s="46" t="str">
        <f>'Приложение 3'!E15</f>
        <v>0</v>
      </c>
      <c r="E16" s="46">
        <f>'Приложение 3'!F15</f>
        <v>100</v>
      </c>
      <c r="F16" s="47">
        <f>SUBTOTAL(9,'Приложение 3'!G15)</f>
        <v>0</v>
      </c>
      <c r="G16" s="47">
        <f>SUBTOTAL(9,'Приложение 3'!H15)</f>
        <v>332.4</v>
      </c>
      <c r="H16" s="47">
        <f>SUBTOTAL(9,'Приложение 3'!I15)</f>
        <v>180.53787</v>
      </c>
      <c r="I16" s="121">
        <f t="shared" si="1"/>
        <v>54.31343862815885</v>
      </c>
    </row>
    <row r="17" spans="1:9" ht="25.5" outlineLevel="1">
      <c r="A17" s="53" t="str">
        <f>'Приложение 3'!A16</f>
        <v>Закупка товаров, работ и услуг для государственных (муниципальных) нужд</v>
      </c>
      <c r="B17" s="46" t="str">
        <f>'Приложение 3'!C16</f>
        <v>0103</v>
      </c>
      <c r="C17" s="46" t="str">
        <f>'Приложение 3'!D16</f>
        <v>90</v>
      </c>
      <c r="D17" s="46">
        <f>'Приложение 3'!E16</f>
        <v>0</v>
      </c>
      <c r="E17" s="46">
        <f>'Приложение 3'!F16</f>
        <v>200</v>
      </c>
      <c r="F17" s="47">
        <f>SUBTOTAL(9,'Приложение 3'!G16)</f>
        <v>0</v>
      </c>
      <c r="G17" s="47">
        <f>SUBTOTAL(9,'Приложение 3'!H16)</f>
        <v>47.5</v>
      </c>
      <c r="H17" s="47">
        <f>SUBTOTAL(9,'Приложение 3'!I16)</f>
        <v>0</v>
      </c>
      <c r="I17" s="121">
        <f t="shared" si="1"/>
        <v>0</v>
      </c>
    </row>
    <row r="18" spans="1:9" ht="34.5" customHeight="1" outlineLevel="1">
      <c r="A18" s="53" t="str">
        <f>'Приложение 3'!A17</f>
        <v>Непрограммные расходы органов местного самоуправления Алексеевского муниципального района</v>
      </c>
      <c r="B18" s="46" t="str">
        <f>'Приложение 3'!C17</f>
        <v>0103</v>
      </c>
      <c r="C18" s="46" t="str">
        <f>'Приложение 3'!D17</f>
        <v>99</v>
      </c>
      <c r="D18" s="46">
        <f>'Приложение 3'!E17</f>
        <v>0</v>
      </c>
      <c r="E18" s="61"/>
      <c r="F18" s="47">
        <f>SUBTOTAL(9,'Приложение 3'!G17)</f>
        <v>0</v>
      </c>
      <c r="G18" s="47">
        <f>SUBTOTAL(9,'Приложение 3'!H17)</f>
        <v>0.1</v>
      </c>
      <c r="H18" s="47">
        <f>SUBTOTAL(9,'Приложение 3'!I17)</f>
        <v>1E-05</v>
      </c>
      <c r="I18" s="121">
        <f t="shared" si="1"/>
        <v>0.01</v>
      </c>
    </row>
    <row r="19" spans="1:9" ht="15.75" outlineLevel="1">
      <c r="A19" s="53" t="str">
        <f>'Приложение 3'!A18</f>
        <v>Иные бюджетные ассигнования</v>
      </c>
      <c r="B19" s="46" t="str">
        <f>'Приложение 3'!C18</f>
        <v>0103</v>
      </c>
      <c r="C19" s="46" t="str">
        <f>'Приложение 3'!D18</f>
        <v>99</v>
      </c>
      <c r="D19" s="46">
        <f>'Приложение 3'!E18</f>
        <v>0</v>
      </c>
      <c r="E19" s="46">
        <f>'Приложение 3'!F18</f>
        <v>800</v>
      </c>
      <c r="F19" s="47">
        <f>SUBTOTAL(9,'Приложение 3'!G18)</f>
        <v>0</v>
      </c>
      <c r="G19" s="47">
        <f>SUBTOTAL(9,'Приложение 3'!H18)</f>
        <v>0.1</v>
      </c>
      <c r="H19" s="47">
        <f>SUBTOTAL(9,'Приложение 3'!I18)</f>
        <v>1E-05</v>
      </c>
      <c r="I19" s="121">
        <f t="shared" si="1"/>
        <v>0.01</v>
      </c>
    </row>
    <row r="20" spans="1:9" ht="51" outlineLevel="2">
      <c r="A20" s="43" t="str">
        <f>'Приложение 3'!A32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8" t="str">
        <f>'Приложение 3'!C32</f>
        <v>0104</v>
      </c>
      <c r="C20" s="48"/>
      <c r="D20" s="48"/>
      <c r="E20" s="48"/>
      <c r="F20" s="47">
        <f>'Приложение 3'!G32</f>
        <v>0</v>
      </c>
      <c r="G20" s="47">
        <f>'Приложение 3'!H32</f>
        <v>29156.7</v>
      </c>
      <c r="H20" s="47">
        <f>'Приложение 3'!I32</f>
        <v>13600.74597</v>
      </c>
      <c r="I20" s="121">
        <f t="shared" si="1"/>
        <v>46.64706900986737</v>
      </c>
    </row>
    <row r="21" spans="1:9" s="4" customFormat="1" ht="38.25" outlineLevel="3">
      <c r="A21" s="43" t="str">
        <f>'Приложение 3'!A33</f>
        <v>Непрограммные направления обеспечения деятельности органов местного самоуправления Алексеевского муниципального района</v>
      </c>
      <c r="B21" s="48" t="str">
        <f>'Приложение 3'!C33</f>
        <v>0104</v>
      </c>
      <c r="C21" s="48" t="str">
        <f>'Приложение 3'!D33</f>
        <v>90</v>
      </c>
      <c r="D21" s="48">
        <f>'Приложение 3'!E33</f>
        <v>0</v>
      </c>
      <c r="E21" s="48"/>
      <c r="F21" s="47">
        <f>'Приложение 3'!G33</f>
        <v>0</v>
      </c>
      <c r="G21" s="47">
        <f>'Приложение 3'!H33</f>
        <v>29106.7</v>
      </c>
      <c r="H21" s="47">
        <f>'Приложение 3'!I33</f>
        <v>13595.74597</v>
      </c>
      <c r="I21" s="121">
        <f t="shared" si="1"/>
        <v>46.710021988064604</v>
      </c>
    </row>
    <row r="22" spans="1:9" s="4" customFormat="1" ht="15.75" outlineLevel="3">
      <c r="A22" s="43" t="str">
        <f>'Приложение 3'!A34</f>
        <v>Глава администрации муниципального образования</v>
      </c>
      <c r="B22" s="48" t="str">
        <f>'Приложение 3'!C34</f>
        <v>0104</v>
      </c>
      <c r="C22" s="48" t="str">
        <f>'Приложение 3'!D34</f>
        <v>90</v>
      </c>
      <c r="D22" s="48">
        <f>'Приложение 3'!E34</f>
        <v>0</v>
      </c>
      <c r="E22" s="48"/>
      <c r="F22" s="47">
        <f>'Приложение 3'!G34</f>
        <v>0</v>
      </c>
      <c r="G22" s="47">
        <f>'Приложение 3'!H34</f>
        <v>1367.1</v>
      </c>
      <c r="H22" s="47">
        <f>'Приложение 3'!I34</f>
        <v>661.26492</v>
      </c>
      <c r="I22" s="121">
        <f t="shared" si="1"/>
        <v>48.36990125082291</v>
      </c>
    </row>
    <row r="23" spans="1:9" s="4" customFormat="1" ht="63.75" outlineLevel="3">
      <c r="A23" s="43" t="str">
        <f>'Приложение 3'!A35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48" t="str">
        <f>'Приложение 3'!C35</f>
        <v>0104</v>
      </c>
      <c r="C23" s="48" t="str">
        <f>'Приложение 3'!D35</f>
        <v>90</v>
      </c>
      <c r="D23" s="48">
        <f>'Приложение 3'!E35</f>
        <v>0</v>
      </c>
      <c r="E23" s="48">
        <f>'Приложение 3'!F35</f>
        <v>100</v>
      </c>
      <c r="F23" s="47">
        <f>'Приложение 3'!G35</f>
        <v>0</v>
      </c>
      <c r="G23" s="47">
        <f>'Приложение 3'!H35</f>
        <v>1367.1</v>
      </c>
      <c r="H23" s="47">
        <f>'Приложение 3'!I35</f>
        <v>661.26492</v>
      </c>
      <c r="I23" s="121">
        <f t="shared" si="1"/>
        <v>48.36990125082291</v>
      </c>
    </row>
    <row r="24" spans="1:9" s="4" customFormat="1" ht="15.75" outlineLevel="3">
      <c r="A24" s="43" t="str">
        <f>'Приложение 3'!A36</f>
        <v>Центральный аппарат</v>
      </c>
      <c r="B24" s="48" t="str">
        <f>'Приложение 3'!C36</f>
        <v>0104</v>
      </c>
      <c r="C24" s="48" t="str">
        <f>'Приложение 3'!D36</f>
        <v>90</v>
      </c>
      <c r="D24" s="48">
        <f>'Приложение 3'!E36</f>
        <v>0</v>
      </c>
      <c r="E24" s="48"/>
      <c r="F24" s="47">
        <f>'Приложение 3'!G36</f>
        <v>0</v>
      </c>
      <c r="G24" s="47">
        <f>'Приложение 3'!H36</f>
        <v>26268.9</v>
      </c>
      <c r="H24" s="47">
        <f>'Приложение 3'!I36</f>
        <v>12283.355080000001</v>
      </c>
      <c r="I24" s="121">
        <f t="shared" si="1"/>
        <v>46.76006639029423</v>
      </c>
    </row>
    <row r="25" spans="1:9" s="4" customFormat="1" ht="63.75" outlineLevel="3">
      <c r="A25" s="43" t="str">
        <f>'Приложение 3'!A37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8" t="str">
        <f>'Приложение 3'!C37</f>
        <v>0104</v>
      </c>
      <c r="C25" s="48" t="str">
        <f>'Приложение 3'!D37</f>
        <v>90</v>
      </c>
      <c r="D25" s="48">
        <f>'Приложение 3'!E37</f>
        <v>0</v>
      </c>
      <c r="E25" s="48">
        <f>'Приложение 3'!F37</f>
        <v>100</v>
      </c>
      <c r="F25" s="47">
        <f>'Приложение 3'!G37</f>
        <v>0</v>
      </c>
      <c r="G25" s="47">
        <f>'Приложение 3'!H37</f>
        <v>24728</v>
      </c>
      <c r="H25" s="47">
        <f>'Приложение 3'!I37</f>
        <v>11904.00508</v>
      </c>
      <c r="I25" s="121">
        <f t="shared" si="1"/>
        <v>48.13978113879004</v>
      </c>
    </row>
    <row r="26" spans="1:9" ht="25.5" outlineLevel="1">
      <c r="A26" s="43" t="str">
        <f>'Приложение 3'!A38</f>
        <v>Закупка товаров, работ и услуг для государственных (муниципальных) нужд</v>
      </c>
      <c r="B26" s="48" t="str">
        <f>'Приложение 3'!C38</f>
        <v>0104</v>
      </c>
      <c r="C26" s="48" t="str">
        <f>'Приложение 3'!D38</f>
        <v>90</v>
      </c>
      <c r="D26" s="48">
        <f>'Приложение 3'!E38</f>
        <v>0</v>
      </c>
      <c r="E26" s="48">
        <f>'Приложение 3'!F38</f>
        <v>200</v>
      </c>
      <c r="F26" s="47">
        <f>'Приложение 3'!G38</f>
        <v>0</v>
      </c>
      <c r="G26" s="47">
        <f>'Приложение 3'!H38</f>
        <v>1540.9</v>
      </c>
      <c r="H26" s="47">
        <f>'Приложение 3'!I38</f>
        <v>379.35</v>
      </c>
      <c r="I26" s="121">
        <f t="shared" si="1"/>
        <v>24.618729314037253</v>
      </c>
    </row>
    <row r="27" spans="1:9" ht="38.25" outlineLevel="2">
      <c r="A27" s="43" t="str">
        <f>'Приложение 3'!A39</f>
        <v>Непрограммные направления обеспечения деятельности органов местного самоуправления Алексеевского муниципального района</v>
      </c>
      <c r="B27" s="48" t="str">
        <f>'Приложение 3'!C39</f>
        <v>0104</v>
      </c>
      <c r="C27" s="48" t="str">
        <f>'Приложение 3'!D39</f>
        <v>90</v>
      </c>
      <c r="D27" s="48" t="str">
        <f>'Приложение 3'!E39</f>
        <v>0</v>
      </c>
      <c r="E27" s="48"/>
      <c r="F27" s="47">
        <f>'Приложение 3'!G39</f>
        <v>0</v>
      </c>
      <c r="G27" s="47">
        <f>'Приложение 3'!H39</f>
        <v>1470.6999999999998</v>
      </c>
      <c r="H27" s="47">
        <f>'Приложение 3'!I39</f>
        <v>651.12597</v>
      </c>
      <c r="I27" s="121">
        <f t="shared" si="1"/>
        <v>44.27320119670906</v>
      </c>
    </row>
    <row r="28" spans="1:9" ht="40.5" customHeight="1" outlineLevel="2">
      <c r="A28" s="43" t="str">
        <f>'Приложение 3'!A40</f>
        <v>За счет субвенции на организационное обеспечение деятельности территориальных административных комиссий</v>
      </c>
      <c r="B28" s="48" t="str">
        <f>'Приложение 3'!C40</f>
        <v>0104</v>
      </c>
      <c r="C28" s="48" t="str">
        <f>'Приложение 3'!D40</f>
        <v>90</v>
      </c>
      <c r="D28" s="48" t="str">
        <f>'Приложение 3'!E40</f>
        <v>0</v>
      </c>
      <c r="E28" s="48"/>
      <c r="F28" s="47">
        <f>'Приложение 3'!G40</f>
        <v>0</v>
      </c>
      <c r="G28" s="47">
        <f>'Приложение 3'!H40</f>
        <v>298.1</v>
      </c>
      <c r="H28" s="47">
        <f>'Приложение 3'!I40</f>
        <v>141.46235</v>
      </c>
      <c r="I28" s="121">
        <f t="shared" si="1"/>
        <v>47.45466286481046</v>
      </c>
    </row>
    <row r="29" spans="1:9" ht="25.5">
      <c r="A29" s="43" t="s">
        <v>119</v>
      </c>
      <c r="B29" s="48" t="s">
        <v>47</v>
      </c>
      <c r="C29" s="48" t="s">
        <v>12</v>
      </c>
      <c r="D29" s="62">
        <v>0</v>
      </c>
      <c r="E29" s="46">
        <v>200</v>
      </c>
      <c r="F29" s="63">
        <f>SUM('Приложение 3'!G38)</f>
        <v>0</v>
      </c>
      <c r="G29" s="63">
        <f>SUM('Приложение 3'!H38)</f>
        <v>1540.9</v>
      </c>
      <c r="H29" s="63">
        <f>SUM('Приложение 3'!I38)</f>
        <v>379.35</v>
      </c>
      <c r="I29" s="121">
        <f t="shared" si="1"/>
        <v>24.618729314037253</v>
      </c>
    </row>
    <row r="30" spans="1:9" ht="25.5" outlineLevel="1">
      <c r="A30" s="43" t="str">
        <f>'Приложение 3'!A42</f>
        <v>Закупка товаров, работ и услуг для государственных (муниципальных) нужд</v>
      </c>
      <c r="B30" s="48" t="str">
        <f>'Приложение 3'!C42</f>
        <v>0104</v>
      </c>
      <c r="C30" s="48" t="str">
        <f>'Приложение 3'!D42</f>
        <v>90</v>
      </c>
      <c r="D30" s="48" t="str">
        <f>'Приложение 3'!E42</f>
        <v>0</v>
      </c>
      <c r="E30" s="48">
        <f>'Приложение 3'!F42</f>
        <v>200</v>
      </c>
      <c r="F30" s="47">
        <f>'Приложение 3'!G42</f>
        <v>0</v>
      </c>
      <c r="G30" s="47">
        <f>'Приложение 3'!H42</f>
        <v>18.599999999999994</v>
      </c>
      <c r="H30" s="47">
        <f>'Приложение 3'!I42</f>
        <v>0</v>
      </c>
      <c r="I30" s="121">
        <f t="shared" si="1"/>
        <v>0</v>
      </c>
    </row>
    <row r="31" spans="1:9" ht="25.5" outlineLevel="2">
      <c r="A31" s="43" t="str">
        <f>'Приложение 3'!A43</f>
        <v>За счет субвенции на организацию и осуществление деятельности по опеке и попечительству</v>
      </c>
      <c r="B31" s="48" t="str">
        <f>'Приложение 3'!C43</f>
        <v>0104</v>
      </c>
      <c r="C31" s="48" t="str">
        <f>'Приложение 3'!D43</f>
        <v>90</v>
      </c>
      <c r="D31" s="48" t="str">
        <f>'Приложение 3'!E43</f>
        <v>0</v>
      </c>
      <c r="E31" s="48"/>
      <c r="F31" s="47">
        <f>'Приложение 3'!G43</f>
        <v>0</v>
      </c>
      <c r="G31" s="47">
        <f>'Приложение 3'!H43</f>
        <v>511</v>
      </c>
      <c r="H31" s="47">
        <f>'Приложение 3'!I43</f>
        <v>309.14868</v>
      </c>
      <c r="I31" s="121">
        <f t="shared" si="1"/>
        <v>60.498763209393346</v>
      </c>
    </row>
    <row r="32" spans="1:9" ht="63.75" outlineLevel="1">
      <c r="A32" s="43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48" t="str">
        <f>'Приложение 3'!C44</f>
        <v>0104</v>
      </c>
      <c r="C32" s="48" t="str">
        <f>'Приложение 3'!D44</f>
        <v>90</v>
      </c>
      <c r="D32" s="48" t="str">
        <f>'Приложение 3'!E44</f>
        <v>0</v>
      </c>
      <c r="E32" s="48">
        <f>'Приложение 3'!F44</f>
        <v>100</v>
      </c>
      <c r="F32" s="47">
        <f>'Приложение 3'!G44</f>
        <v>0</v>
      </c>
      <c r="G32" s="47">
        <f>'Приложение 3'!H44</f>
        <v>461</v>
      </c>
      <c r="H32" s="47">
        <f>'Приложение 3'!I44</f>
        <v>293.29724</v>
      </c>
      <c r="I32" s="121">
        <f t="shared" si="1"/>
        <v>63.621960954446855</v>
      </c>
    </row>
    <row r="33" spans="1:9" ht="25.5" outlineLevel="5">
      <c r="A33" s="43" t="str">
        <f>'Приложение 3'!A45</f>
        <v>Закупка товаров, работ и услуг для государственных (муниципальных) нужд</v>
      </c>
      <c r="B33" s="48" t="str">
        <f>'Приложение 3'!C45</f>
        <v>0104</v>
      </c>
      <c r="C33" s="48" t="str">
        <f>'Приложение 3'!D45</f>
        <v>90</v>
      </c>
      <c r="D33" s="48" t="str">
        <f>'Приложение 3'!E45</f>
        <v>0</v>
      </c>
      <c r="E33" s="48">
        <f>'Приложение 3'!F45</f>
        <v>200</v>
      </c>
      <c r="F33" s="47">
        <f>'Приложение 3'!G45</f>
        <v>0</v>
      </c>
      <c r="G33" s="47">
        <f>'Приложение 3'!H45</f>
        <v>50</v>
      </c>
      <c r="H33" s="47">
        <f>'Приложение 3'!I45</f>
        <v>15.85144</v>
      </c>
      <c r="I33" s="121">
        <f t="shared" si="1"/>
        <v>31.70288</v>
      </c>
    </row>
    <row r="34" spans="1:9" ht="39.75" customHeight="1" outlineLevel="5">
      <c r="A34" s="43" t="str">
        <f>'Приложение 3'!A46</f>
        <v>За счет субвенции  на создание, исполнение функций и обеспечение деятельности муниципальных комиссий по делам несовершеннолетних и защите их прав</v>
      </c>
      <c r="B34" s="48" t="str">
        <f>'Приложение 3'!C46</f>
        <v>0104</v>
      </c>
      <c r="C34" s="48" t="str">
        <f>'Приложение 3'!D46</f>
        <v>90</v>
      </c>
      <c r="D34" s="48" t="str">
        <f>'Приложение 3'!E46</f>
        <v>0</v>
      </c>
      <c r="E34" s="48"/>
      <c r="F34" s="47">
        <f>'Приложение 3'!G46</f>
        <v>0</v>
      </c>
      <c r="G34" s="47">
        <f>'Приложение 3'!H46</f>
        <v>237</v>
      </c>
      <c r="H34" s="47">
        <f>'Приложение 3'!I46</f>
        <v>118.58204</v>
      </c>
      <c r="I34" s="121">
        <f t="shared" si="1"/>
        <v>50.03461603375528</v>
      </c>
    </row>
    <row r="35" spans="1:9" ht="63.75" outlineLevel="5">
      <c r="A35" s="43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48" t="str">
        <f>'Приложение 3'!C47</f>
        <v>0104</v>
      </c>
      <c r="C35" s="48" t="str">
        <f>'Приложение 3'!D47</f>
        <v>90</v>
      </c>
      <c r="D35" s="48" t="str">
        <f>'Приложение 3'!E47</f>
        <v>0</v>
      </c>
      <c r="E35" s="48">
        <f>'Приложение 3'!F47</f>
        <v>100</v>
      </c>
      <c r="F35" s="47">
        <f>'Приложение 3'!G47</f>
        <v>0</v>
      </c>
      <c r="G35" s="47">
        <f>'Приложение 3'!H47</f>
        <v>220</v>
      </c>
      <c r="H35" s="47">
        <f>'Приложение 3'!I47</f>
        <v>116.88204</v>
      </c>
      <c r="I35" s="121">
        <f t="shared" si="1"/>
        <v>53.12820000000001</v>
      </c>
    </row>
    <row r="36" spans="1:9" ht="25.5" outlineLevel="2">
      <c r="A36" s="43" t="str">
        <f>'Приложение 3'!A48</f>
        <v>Закупка товаров, работ и услуг для государственных (муниципальных) нужд</v>
      </c>
      <c r="B36" s="48" t="str">
        <f>'Приложение 3'!C48</f>
        <v>0104</v>
      </c>
      <c r="C36" s="48" t="str">
        <f>'Приложение 3'!D48</f>
        <v>90</v>
      </c>
      <c r="D36" s="48" t="str">
        <f>'Приложение 3'!E48</f>
        <v>0</v>
      </c>
      <c r="E36" s="48">
        <f>'Приложение 3'!F48</f>
        <v>200</v>
      </c>
      <c r="F36" s="47">
        <f>'Приложение 3'!G48</f>
        <v>0</v>
      </c>
      <c r="G36" s="47">
        <f>'Приложение 3'!H48</f>
        <v>17</v>
      </c>
      <c r="H36" s="47">
        <f>'Приложение 3'!I48</f>
        <v>1.7</v>
      </c>
      <c r="I36" s="121">
        <f t="shared" si="1"/>
        <v>10</v>
      </c>
    </row>
    <row r="37" spans="1:9" ht="51" outlineLevel="4">
      <c r="A37" s="43" t="str">
        <f>'Приложение 3'!A49</f>
        <v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v>
      </c>
      <c r="B37" s="48" t="str">
        <f>'Приложение 3'!C49</f>
        <v>0104</v>
      </c>
      <c r="C37" s="48" t="str">
        <f>'Приложение 3'!D49</f>
        <v>90</v>
      </c>
      <c r="D37" s="48" t="str">
        <f>'Приложение 3'!E49</f>
        <v>0</v>
      </c>
      <c r="E37" s="48"/>
      <c r="F37" s="47">
        <f>'Приложение 3'!G49</f>
        <v>0</v>
      </c>
      <c r="G37" s="47">
        <f>'Приложение 3'!H49</f>
        <v>424.6</v>
      </c>
      <c r="H37" s="47">
        <f>'Приложение 3'!I49</f>
        <v>81.9329</v>
      </c>
      <c r="I37" s="121">
        <f t="shared" si="1"/>
        <v>19.2964908148846</v>
      </c>
    </row>
    <row r="38" spans="1:9" s="17" customFormat="1" ht="63.75" outlineLevel="5">
      <c r="A38" s="43" t="str">
        <f>'Приложение 3'!A50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48" t="str">
        <f>'Приложение 3'!C50</f>
        <v>0104</v>
      </c>
      <c r="C38" s="48" t="str">
        <f>'Приложение 3'!D50</f>
        <v>90</v>
      </c>
      <c r="D38" s="48" t="str">
        <f>'Приложение 3'!E50</f>
        <v>0</v>
      </c>
      <c r="E38" s="48">
        <f>'Приложение 3'!F50</f>
        <v>100</v>
      </c>
      <c r="F38" s="47">
        <f>'Приложение 3'!G50</f>
        <v>0</v>
      </c>
      <c r="G38" s="47">
        <f>'Приложение 3'!H50</f>
        <v>0</v>
      </c>
      <c r="H38" s="47">
        <f>'Приложение 3'!I50</f>
        <v>0</v>
      </c>
      <c r="I38" s="121">
        <v>0</v>
      </c>
    </row>
    <row r="39" spans="1:9" ht="25.5" outlineLevel="5">
      <c r="A39" s="43" t="str">
        <f>'Приложение 3'!A51</f>
        <v>Закупка товаров, работ и услуг для государственных (муниципальных) нужд</v>
      </c>
      <c r="B39" s="48" t="str">
        <f>'Приложение 3'!C51</f>
        <v>0104</v>
      </c>
      <c r="C39" s="48" t="str">
        <f>'Приложение 3'!D51</f>
        <v>90</v>
      </c>
      <c r="D39" s="48" t="str">
        <f>'Приложение 3'!E51</f>
        <v>0</v>
      </c>
      <c r="E39" s="48">
        <f>'Приложение 3'!F51</f>
        <v>200</v>
      </c>
      <c r="F39" s="47">
        <f>'Приложение 3'!G51</f>
        <v>0</v>
      </c>
      <c r="G39" s="47">
        <f>'Приложение 3'!H51</f>
        <v>424.6</v>
      </c>
      <c r="H39" s="47">
        <f>'Приложение 3'!I51</f>
        <v>81.9329</v>
      </c>
      <c r="I39" s="121">
        <f t="shared" si="1"/>
        <v>19.2964908148846</v>
      </c>
    </row>
    <row r="40" spans="1:9" ht="51" outlineLevel="4">
      <c r="A40" s="43" t="str">
        <f>'Приложение 3'!A52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40" s="48" t="str">
        <f>'Приложение 3'!C52</f>
        <v>0104</v>
      </c>
      <c r="C40" s="48" t="str">
        <f>'Приложение 3'!D52</f>
        <v>01</v>
      </c>
      <c r="D40" s="48">
        <f>'Приложение 3'!E52</f>
        <v>0</v>
      </c>
      <c r="E40" s="48"/>
      <c r="F40" s="47">
        <f>'Приложение 3'!G52</f>
        <v>0</v>
      </c>
      <c r="G40" s="47">
        <f>'Приложение 3'!H52</f>
        <v>50</v>
      </c>
      <c r="H40" s="47">
        <f>'Приложение 3'!I52</f>
        <v>5</v>
      </c>
      <c r="I40" s="121">
        <f t="shared" si="1"/>
        <v>10</v>
      </c>
    </row>
    <row r="41" spans="1:9" ht="27" customHeight="1" outlineLevel="4">
      <c r="A41" s="43" t="str">
        <f>'Приложение 3'!A53</f>
        <v>Закупка товаров, работ и услуг для государственных (муниципальных) нужд</v>
      </c>
      <c r="B41" s="48" t="str">
        <f>'Приложение 3'!C53</f>
        <v>0104</v>
      </c>
      <c r="C41" s="48" t="str">
        <f>'Приложение 3'!D53</f>
        <v>01</v>
      </c>
      <c r="D41" s="48">
        <f>'Приложение 3'!E53</f>
        <v>0</v>
      </c>
      <c r="E41" s="48">
        <f>'Приложение 3'!F53</f>
        <v>200</v>
      </c>
      <c r="F41" s="47">
        <f>'Приложение 3'!G53</f>
        <v>0</v>
      </c>
      <c r="G41" s="47">
        <f>'Приложение 3'!H53</f>
        <v>50</v>
      </c>
      <c r="H41" s="47">
        <f>'Приложение 3'!I53</f>
        <v>5</v>
      </c>
      <c r="I41" s="121">
        <f t="shared" si="1"/>
        <v>10</v>
      </c>
    </row>
    <row r="42" spans="1:9" ht="17.25" customHeight="1" outlineLevel="4">
      <c r="A42" s="43" t="str">
        <f>'Приложение 3'!A54</f>
        <v>Судебная система</v>
      </c>
      <c r="B42" s="48" t="str">
        <f>'Приложение 3'!C54</f>
        <v>0105</v>
      </c>
      <c r="C42" s="48"/>
      <c r="D42" s="48"/>
      <c r="E42" s="48"/>
      <c r="F42" s="47">
        <f>'Приложение 3'!G54</f>
        <v>0</v>
      </c>
      <c r="G42" s="47">
        <f>'Приложение 3'!H54</f>
        <v>20.1</v>
      </c>
      <c r="H42" s="47">
        <f>'Приложение 3'!I54</f>
        <v>0</v>
      </c>
      <c r="I42" s="121">
        <f t="shared" si="1"/>
        <v>0</v>
      </c>
    </row>
    <row r="43" spans="1:9" ht="27" customHeight="1" outlineLevel="4">
      <c r="A43" s="43" t="str">
        <f>'Приложение 3'!A55</f>
        <v>Составление (изменение) списков кандидатов в присяжные заседатели федеральных судов общей юрисдикции в Российской Федерации</v>
      </c>
      <c r="B43" s="48" t="str">
        <f>'Приложение 3'!C55</f>
        <v>0105</v>
      </c>
      <c r="C43" s="48" t="str">
        <f>'Приложение 3'!D55</f>
        <v>99</v>
      </c>
      <c r="D43" s="48">
        <f>'Приложение 3'!E55</f>
        <v>0</v>
      </c>
      <c r="E43" s="48"/>
      <c r="F43" s="47">
        <f>'Приложение 3'!G55</f>
        <v>0</v>
      </c>
      <c r="G43" s="47">
        <f>'Приложение 3'!H55</f>
        <v>20.1</v>
      </c>
      <c r="H43" s="47">
        <f>'Приложение 3'!I55</f>
        <v>0</v>
      </c>
      <c r="I43" s="121">
        <f t="shared" si="1"/>
        <v>0</v>
      </c>
    </row>
    <row r="44" spans="1:9" ht="27" customHeight="1" outlineLevel="4">
      <c r="A44" s="43" t="str">
        <f>'Приложение 3'!A56</f>
        <v>Непрограммные расходы органов местного самоуправления Алексеевского муниципального района</v>
      </c>
      <c r="B44" s="48" t="str">
        <f>'Приложение 3'!C56</f>
        <v>0105</v>
      </c>
      <c r="C44" s="48" t="str">
        <f>'Приложение 3'!D56</f>
        <v>99</v>
      </c>
      <c r="D44" s="48">
        <f>'Приложение 3'!E56</f>
        <v>0</v>
      </c>
      <c r="E44" s="48"/>
      <c r="F44" s="47">
        <f>'Приложение 3'!G56</f>
        <v>0</v>
      </c>
      <c r="G44" s="47">
        <f>'Приложение 3'!H56</f>
        <v>20.1</v>
      </c>
      <c r="H44" s="47">
        <f>'Приложение 3'!I56</f>
        <v>0</v>
      </c>
      <c r="I44" s="121">
        <f t="shared" si="1"/>
        <v>0</v>
      </c>
    </row>
    <row r="45" spans="1:9" ht="27" customHeight="1" outlineLevel="4">
      <c r="A45" s="43" t="str">
        <f>'Приложение 3'!A57</f>
        <v>Закупка товаров, работ и услуг для государственных (муниципальных) нужд</v>
      </c>
      <c r="B45" s="48" t="str">
        <f>'Приложение 3'!C57</f>
        <v>0105</v>
      </c>
      <c r="C45" s="48" t="str">
        <f>'Приложение 3'!D57</f>
        <v>99</v>
      </c>
      <c r="D45" s="48">
        <f>'Приложение 3'!E57</f>
        <v>0</v>
      </c>
      <c r="E45" s="48">
        <f>'Приложение 3'!F57</f>
        <v>200</v>
      </c>
      <c r="F45" s="47">
        <f>'Приложение 3'!G57</f>
        <v>0</v>
      </c>
      <c r="G45" s="47">
        <f>'Приложение 3'!H57</f>
        <v>20.1</v>
      </c>
      <c r="H45" s="47">
        <f>'Приложение 3'!I57</f>
        <v>0</v>
      </c>
      <c r="I45" s="121">
        <f t="shared" si="1"/>
        <v>0</v>
      </c>
    </row>
    <row r="46" spans="1:9" ht="38.25" outlineLevel="2">
      <c r="A46" s="53" t="str">
        <f>'Приложение 3'!A21</f>
        <v>Обеспечение деятельности финансовых, налоговых и таможенных органов и органов финансового (финансово-бюджетного) надзора</v>
      </c>
      <c r="B46" s="48" t="str">
        <f>'Приложение 3'!C21</f>
        <v>0106</v>
      </c>
      <c r="C46" s="48"/>
      <c r="D46" s="48"/>
      <c r="E46" s="48"/>
      <c r="F46" s="47">
        <f>'Приложение 3'!G20</f>
        <v>0</v>
      </c>
      <c r="G46" s="47">
        <f>'Приложение 3'!H20</f>
        <v>1486</v>
      </c>
      <c r="H46" s="47">
        <f>'Приложение 3'!I20</f>
        <v>652.31551</v>
      </c>
      <c r="I46" s="121">
        <f t="shared" si="1"/>
        <v>43.89740982503365</v>
      </c>
    </row>
    <row r="47" spans="1:9" ht="38.25" outlineLevel="2">
      <c r="A47" s="53" t="str">
        <f>'Приложение 3'!A22</f>
        <v>Непрограммные направления обеспечения деятельности органов местного самоуправления Алексеевского муниципального района</v>
      </c>
      <c r="B47" s="48" t="str">
        <f>'Приложение 3'!C22</f>
        <v>0106</v>
      </c>
      <c r="C47" s="48" t="str">
        <f>'Приложение 3'!D22</f>
        <v>90</v>
      </c>
      <c r="D47" s="48" t="str">
        <f>'Приложение 3'!E22</f>
        <v>0</v>
      </c>
      <c r="E47" s="48"/>
      <c r="F47" s="47">
        <f>'Приложение 3'!G21</f>
        <v>0</v>
      </c>
      <c r="G47" s="47">
        <f>'Приложение 3'!H21</f>
        <v>1486</v>
      </c>
      <c r="H47" s="47">
        <f>'Приложение 3'!I21</f>
        <v>652.31551</v>
      </c>
      <c r="I47" s="121">
        <f t="shared" si="1"/>
        <v>43.89740982503365</v>
      </c>
    </row>
    <row r="48" spans="1:9" ht="63.75" outlineLevel="2">
      <c r="A48" s="53" t="str">
        <f>'Приложение 3'!A23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48" t="str">
        <f>'Приложение 3'!C23</f>
        <v>0106</v>
      </c>
      <c r="C48" s="48" t="str">
        <f>'Приложение 3'!D23</f>
        <v>90</v>
      </c>
      <c r="D48" s="48" t="str">
        <f>'Приложение 3'!E23</f>
        <v>0</v>
      </c>
      <c r="E48" s="48">
        <f>'Приложение 3'!F23</f>
        <v>100</v>
      </c>
      <c r="F48" s="47">
        <f>'Приложение 3'!G23</f>
        <v>0</v>
      </c>
      <c r="G48" s="47">
        <f>'Приложение 3'!H23</f>
        <v>1472.25</v>
      </c>
      <c r="H48" s="47">
        <f>'Приложение 3'!I23</f>
        <v>652.31551</v>
      </c>
      <c r="I48" s="121">
        <f t="shared" si="1"/>
        <v>44.307387332314484</v>
      </c>
    </row>
    <row r="49" spans="1:9" ht="25.5" outlineLevel="2">
      <c r="A49" s="53" t="str">
        <f>'Приложение 3'!A24</f>
        <v>Закупка товаров, работ и услуг для государственных (муниципальных) нужд</v>
      </c>
      <c r="B49" s="48" t="str">
        <f>'Приложение 3'!C24</f>
        <v>0106</v>
      </c>
      <c r="C49" s="48" t="str">
        <f>'Приложение 3'!D24</f>
        <v>90</v>
      </c>
      <c r="D49" s="48">
        <f>'Приложение 3'!E24</f>
        <v>0</v>
      </c>
      <c r="E49" s="48">
        <f>'Приложение 3'!F24</f>
        <v>200</v>
      </c>
      <c r="F49" s="47">
        <f>'Приложение 3'!G24</f>
        <v>0</v>
      </c>
      <c r="G49" s="47">
        <f>'Приложение 3'!H24</f>
        <v>13.25</v>
      </c>
      <c r="H49" s="47">
        <f>'Приложение 3'!I24</f>
        <v>0</v>
      </c>
      <c r="I49" s="121">
        <f t="shared" si="1"/>
        <v>0</v>
      </c>
    </row>
    <row r="50" spans="1:9" ht="28.5" customHeight="1" outlineLevel="2">
      <c r="A50" s="53" t="str">
        <f>'Приложение 3'!A25</f>
        <v>Непрограммные расходы органов местного самоуправления Алексеевского муниципального района</v>
      </c>
      <c r="B50" s="48" t="str">
        <f>'Приложение 3'!C25</f>
        <v>0106</v>
      </c>
      <c r="C50" s="48" t="str">
        <f>'Приложение 3'!D25</f>
        <v>99</v>
      </c>
      <c r="D50" s="48">
        <f>'Приложение 3'!E25</f>
        <v>0</v>
      </c>
      <c r="E50" s="48"/>
      <c r="F50" s="47">
        <f>'Приложение 3'!G25</f>
        <v>0</v>
      </c>
      <c r="G50" s="47">
        <f>'Приложение 3'!H25</f>
        <v>0.5</v>
      </c>
      <c r="H50" s="47">
        <f>'Приложение 3'!I25</f>
        <v>0</v>
      </c>
      <c r="I50" s="121">
        <f t="shared" si="1"/>
        <v>0</v>
      </c>
    </row>
    <row r="51" spans="1:9" ht="15.75" outlineLevel="2">
      <c r="A51" s="53" t="str">
        <f>'Приложение 3'!A26</f>
        <v>Иные бюджетные ассигнования</v>
      </c>
      <c r="B51" s="48" t="str">
        <f>'Приложение 3'!C26</f>
        <v>0106</v>
      </c>
      <c r="C51" s="48" t="str">
        <f>'Приложение 3'!D26</f>
        <v>99</v>
      </c>
      <c r="D51" s="48">
        <f>'Приложение 3'!E26</f>
        <v>0</v>
      </c>
      <c r="E51" s="48">
        <f>'Приложение 3'!F26</f>
        <v>800</v>
      </c>
      <c r="F51" s="47">
        <f>'Приложение 3'!G26</f>
        <v>0</v>
      </c>
      <c r="G51" s="47">
        <f>'Приложение 3'!H26</f>
        <v>0.5</v>
      </c>
      <c r="H51" s="47">
        <f>'Приложение 3'!I26</f>
        <v>0</v>
      </c>
      <c r="I51" s="121">
        <f t="shared" si="1"/>
        <v>0</v>
      </c>
    </row>
    <row r="52" spans="1:9" ht="15.75" outlineLevel="2">
      <c r="A52" s="53" t="str">
        <f>'Приложение 3'!A58</f>
        <v>Обеспечение проведения выборов и референдумов</v>
      </c>
      <c r="B52" s="48" t="str">
        <f>'Приложение 3'!C58</f>
        <v>0107</v>
      </c>
      <c r="C52" s="48">
        <f>'Приложение 3'!D58</f>
        <v>0</v>
      </c>
      <c r="D52" s="48">
        <f>'Приложение 3'!E58</f>
        <v>0</v>
      </c>
      <c r="E52" s="48"/>
      <c r="F52" s="47">
        <f>'Приложение 3'!G58</f>
        <v>0</v>
      </c>
      <c r="G52" s="47">
        <f>'Приложение 3'!H58</f>
        <v>0</v>
      </c>
      <c r="H52" s="47">
        <f>'Приложение 3'!I58</f>
        <v>0</v>
      </c>
      <c r="I52" s="121">
        <v>0</v>
      </c>
    </row>
    <row r="53" spans="1:9" ht="15.75" outlineLevel="2">
      <c r="A53" s="53" t="str">
        <f>'Приложение 3'!A59</f>
        <v>Проведение выборов и референдумов</v>
      </c>
      <c r="B53" s="48" t="str">
        <f>'Приложение 3'!C59</f>
        <v>0107</v>
      </c>
      <c r="C53" s="48" t="str">
        <f>'Приложение 3'!D59</f>
        <v>99</v>
      </c>
      <c r="D53" s="48" t="str">
        <f>'Приложение 3'!E59</f>
        <v>0</v>
      </c>
      <c r="E53" s="48"/>
      <c r="F53" s="47">
        <f>'Приложение 3'!G59</f>
        <v>0</v>
      </c>
      <c r="G53" s="47">
        <f>'Приложение 3'!H59</f>
        <v>0</v>
      </c>
      <c r="H53" s="47">
        <f>'Приложение 3'!I59</f>
        <v>0</v>
      </c>
      <c r="I53" s="121">
        <v>0</v>
      </c>
    </row>
    <row r="54" spans="1:9" ht="30" customHeight="1" outlineLevel="5">
      <c r="A54" s="53" t="str">
        <f>'Приложение 3'!A60</f>
        <v>Непрограммные расходы органов местного самоуправления Алексеевского муниципального района</v>
      </c>
      <c r="B54" s="48" t="str">
        <f>'Приложение 3'!C60</f>
        <v>0107</v>
      </c>
      <c r="C54" s="48" t="str">
        <f>'Приложение 3'!D60</f>
        <v>99</v>
      </c>
      <c r="D54" s="48" t="str">
        <f>'Приложение 3'!E60</f>
        <v>0</v>
      </c>
      <c r="E54" s="48"/>
      <c r="F54" s="47">
        <f>'Приложение 3'!G60</f>
        <v>0</v>
      </c>
      <c r="G54" s="47">
        <f>'Приложение 3'!H60</f>
        <v>0</v>
      </c>
      <c r="H54" s="47">
        <f>'Приложение 3'!I60</f>
        <v>0</v>
      </c>
      <c r="I54" s="121">
        <v>0</v>
      </c>
    </row>
    <row r="55" spans="1:9" ht="25.5" outlineLevel="5">
      <c r="A55" s="53" t="str">
        <f>'Приложение 3'!A61</f>
        <v>Закупка товаров, работ и услуг для государственных (муниципальных) нужд</v>
      </c>
      <c r="B55" s="48" t="str">
        <f>'Приложение 3'!C61</f>
        <v>0107</v>
      </c>
      <c r="C55" s="48" t="str">
        <f>'Приложение 3'!D61</f>
        <v>99</v>
      </c>
      <c r="D55" s="48">
        <f>'Приложение 3'!E61</f>
        <v>0</v>
      </c>
      <c r="E55" s="48">
        <f>'Приложение 3'!F61</f>
        <v>200</v>
      </c>
      <c r="F55" s="47">
        <f>'Приложение 3'!G61</f>
        <v>0</v>
      </c>
      <c r="G55" s="47">
        <f>'Приложение 3'!H61</f>
        <v>0</v>
      </c>
      <c r="H55" s="47">
        <f>'Приложение 3'!I61</f>
        <v>0</v>
      </c>
      <c r="I55" s="121">
        <v>0</v>
      </c>
    </row>
    <row r="56" spans="1:9" ht="15.75" outlineLevel="5">
      <c r="A56" s="53" t="str">
        <f>'Приложение 3'!A62</f>
        <v>Резервные фонды</v>
      </c>
      <c r="B56" s="48" t="str">
        <f>'Приложение 3'!C62</f>
        <v>0111</v>
      </c>
      <c r="C56" s="48">
        <f>'Приложение 3'!D62</f>
        <v>0</v>
      </c>
      <c r="D56" s="48">
        <f>'Приложение 3'!E62</f>
        <v>0</v>
      </c>
      <c r="E56" s="48"/>
      <c r="F56" s="47">
        <f>'Приложение 3'!G62</f>
        <v>0</v>
      </c>
      <c r="G56" s="47">
        <f>'Приложение 3'!H62</f>
        <v>320</v>
      </c>
      <c r="H56" s="47">
        <f>'Приложение 3'!I62</f>
        <v>0</v>
      </c>
      <c r="I56" s="121">
        <f t="shared" si="1"/>
        <v>0</v>
      </c>
    </row>
    <row r="57" spans="1:9" ht="30.75" customHeight="1" outlineLevel="1">
      <c r="A57" s="53" t="str">
        <f>'Приложение 3'!A63</f>
        <v>Непрограммные расходы органов местного самоуправления Алексеевского муниципального района</v>
      </c>
      <c r="B57" s="48" t="str">
        <f>'Приложение 3'!C63</f>
        <v>0111</v>
      </c>
      <c r="C57" s="48" t="str">
        <f>'Приложение 3'!D63</f>
        <v>99</v>
      </c>
      <c r="D57" s="48" t="str">
        <f>'Приложение 3'!E63</f>
        <v>0</v>
      </c>
      <c r="E57" s="48"/>
      <c r="F57" s="47">
        <f>'Приложение 3'!G63</f>
        <v>0</v>
      </c>
      <c r="G57" s="47">
        <f>'Приложение 3'!H63</f>
        <v>320</v>
      </c>
      <c r="H57" s="47">
        <f>'Приложение 3'!I63</f>
        <v>0</v>
      </c>
      <c r="I57" s="121">
        <f t="shared" si="1"/>
        <v>0</v>
      </c>
    </row>
    <row r="58" spans="1:9" ht="18.75" customHeight="1" outlineLevel="2">
      <c r="A58" s="53" t="str">
        <f>'Приложение 3'!A64</f>
        <v>Иные бюджетные ассигнования</v>
      </c>
      <c r="B58" s="48" t="str">
        <f>'Приложение 3'!C64</f>
        <v>0111</v>
      </c>
      <c r="C58" s="48" t="str">
        <f>'Приложение 3'!D64</f>
        <v>99</v>
      </c>
      <c r="D58" s="48" t="str">
        <f>'Приложение 3'!E64</f>
        <v>0</v>
      </c>
      <c r="E58" s="48">
        <f>'Приложение 3'!F64</f>
        <v>800</v>
      </c>
      <c r="F58" s="47">
        <f>'Приложение 3'!G64</f>
        <v>0</v>
      </c>
      <c r="G58" s="47">
        <f>'Приложение 3'!H64</f>
        <v>320</v>
      </c>
      <c r="H58" s="47">
        <f>'Приложение 3'!I64</f>
        <v>0</v>
      </c>
      <c r="I58" s="121">
        <f t="shared" si="1"/>
        <v>0</v>
      </c>
    </row>
    <row r="59" spans="1:9" ht="18" customHeight="1" outlineLevel="2">
      <c r="A59" s="53" t="str">
        <f>'Приложение 3'!A65</f>
        <v>Другие общегосударственные вопросы</v>
      </c>
      <c r="B59" s="48" t="str">
        <f>'Приложение 3'!C65</f>
        <v>0113</v>
      </c>
      <c r="C59" s="48">
        <f>'Приложение 3'!D65</f>
        <v>0</v>
      </c>
      <c r="D59" s="48">
        <f>'Приложение 3'!E65</f>
        <v>0</v>
      </c>
      <c r="E59" s="48"/>
      <c r="F59" s="47">
        <f>'Приложение 3'!G65</f>
        <v>1577.227</v>
      </c>
      <c r="G59" s="47">
        <f>'Приложение 3'!H65</f>
        <v>37909.32084</v>
      </c>
      <c r="H59" s="47">
        <f>'Приложение 3'!I65</f>
        <v>14929.976320000002</v>
      </c>
      <c r="I59" s="121">
        <f t="shared" si="1"/>
        <v>39.38339170731501</v>
      </c>
    </row>
    <row r="60" spans="1:9" ht="48" customHeight="1" outlineLevel="2">
      <c r="A60" s="53" t="str">
        <f>'Приложение 3'!A66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60" s="48" t="str">
        <f>'Приложение 3'!C66</f>
        <v>0113</v>
      </c>
      <c r="C60" s="48" t="str">
        <f>'Приложение 3'!D66</f>
        <v>02</v>
      </c>
      <c r="D60" s="48">
        <f>'Приложение 3'!E66</f>
        <v>0</v>
      </c>
      <c r="E60" s="48"/>
      <c r="F60" s="47">
        <f>'Приложение 3'!G66</f>
        <v>0</v>
      </c>
      <c r="G60" s="47">
        <f>'Приложение 3'!H66</f>
        <v>300</v>
      </c>
      <c r="H60" s="47">
        <f>'Приложение 3'!I66</f>
        <v>52.14</v>
      </c>
      <c r="I60" s="121">
        <f t="shared" si="1"/>
        <v>17.380000000000003</v>
      </c>
    </row>
    <row r="61" spans="1:9" ht="34.5" customHeight="1" outlineLevel="2">
      <c r="A61" s="53" t="str">
        <f>'Приложение 3'!A67</f>
        <v>Подпрограмма "Энергосбережение и повышение энергетической эффективности Алексеевского муниципального района"</v>
      </c>
      <c r="B61" s="48" t="str">
        <f>'Приложение 3'!C67</f>
        <v>0113</v>
      </c>
      <c r="C61" s="48" t="str">
        <f>'Приложение 3'!D67</f>
        <v>02</v>
      </c>
      <c r="D61" s="48">
        <f>'Приложение 3'!E67</f>
        <v>4</v>
      </c>
      <c r="E61" s="48"/>
      <c r="F61" s="47">
        <f>'Приложение 3'!G67</f>
        <v>0</v>
      </c>
      <c r="G61" s="47">
        <f>'Приложение 3'!H67</f>
        <v>300</v>
      </c>
      <c r="H61" s="47">
        <f>'Приложение 3'!I67</f>
        <v>52.14</v>
      </c>
      <c r="I61" s="121">
        <f t="shared" si="1"/>
        <v>17.380000000000003</v>
      </c>
    </row>
    <row r="62" spans="1:9" ht="33" customHeight="1" outlineLevel="2">
      <c r="A62" s="53" t="str">
        <f>'Приложение 3'!A68</f>
        <v>Предоставление субсидий бюджетным, автономным учреждениям и иным некоммерческим организациям</v>
      </c>
      <c r="B62" s="48" t="str">
        <f>'Приложение 3'!C68</f>
        <v>0113</v>
      </c>
      <c r="C62" s="48" t="str">
        <f>'Приложение 3'!D68</f>
        <v>02</v>
      </c>
      <c r="D62" s="48">
        <f>'Приложение 3'!E68</f>
        <v>4</v>
      </c>
      <c r="E62" s="48">
        <f>'Приложение 3'!F68</f>
        <v>600</v>
      </c>
      <c r="F62" s="47">
        <f>'Приложение 3'!G68</f>
        <v>0</v>
      </c>
      <c r="G62" s="47">
        <f>'Приложение 3'!H68</f>
        <v>300</v>
      </c>
      <c r="H62" s="47">
        <f>'Приложение 3'!I68</f>
        <v>52.14</v>
      </c>
      <c r="I62" s="121">
        <f t="shared" si="1"/>
        <v>17.380000000000003</v>
      </c>
    </row>
    <row r="63" spans="1:9" ht="40.5" customHeight="1" outlineLevel="2">
      <c r="A63" s="53" t="str">
        <f>'Приложение 3'!A69</f>
        <v>Муниципальная программа "Развитие территориального общественного самоуправления Алексеевского муниципального района на 2016-2018 годы"</v>
      </c>
      <c r="B63" s="48" t="str">
        <f>'Приложение 3'!C69</f>
        <v>0113</v>
      </c>
      <c r="C63" s="48" t="str">
        <f>'Приложение 3'!D69</f>
        <v>03</v>
      </c>
      <c r="D63" s="48">
        <f>'Приложение 3'!E69</f>
        <v>0</v>
      </c>
      <c r="E63" s="48"/>
      <c r="F63" s="47">
        <f>'Приложение 3'!G69</f>
        <v>3487.3</v>
      </c>
      <c r="G63" s="47">
        <f>'Приложение 3'!H69</f>
        <v>3507.3</v>
      </c>
      <c r="H63" s="47">
        <f>'Приложение 3'!I69</f>
        <v>0</v>
      </c>
      <c r="I63" s="121">
        <f t="shared" si="1"/>
        <v>0</v>
      </c>
    </row>
    <row r="64" spans="1:9" ht="25.5" customHeight="1" outlineLevel="2">
      <c r="A64" s="53" t="str">
        <f>'Приложение 3'!A70</f>
        <v>Закупка товаров, работ и услуг для государственных (муниципальных) нужд</v>
      </c>
      <c r="B64" s="48" t="str">
        <f>'Приложение 3'!C70</f>
        <v>0113</v>
      </c>
      <c r="C64" s="48" t="str">
        <f>'Приложение 3'!D70</f>
        <v>03</v>
      </c>
      <c r="D64" s="48">
        <f>'Приложение 3'!E70</f>
        <v>0</v>
      </c>
      <c r="E64" s="48">
        <f>'Приложение 3'!F70</f>
        <v>200</v>
      </c>
      <c r="F64" s="47">
        <f>'Приложение 3'!G70</f>
        <v>0</v>
      </c>
      <c r="G64" s="47">
        <f>'Приложение 3'!H70</f>
        <v>0</v>
      </c>
      <c r="H64" s="47">
        <f>'Приложение 3'!I70</f>
        <v>0</v>
      </c>
      <c r="I64" s="121">
        <v>0</v>
      </c>
    </row>
    <row r="65" spans="1:9" ht="25.5" customHeight="1" outlineLevel="2">
      <c r="A65" s="53" t="str">
        <f>'Приложение 3'!A71</f>
        <v>Предоставление субсидий бюджетным, автономным учреждениям и иным некоммерческим организациям</v>
      </c>
      <c r="B65" s="48" t="str">
        <f>'Приложение 3'!C71</f>
        <v>0113</v>
      </c>
      <c r="C65" s="48" t="str">
        <f>'Приложение 3'!D71</f>
        <v>03</v>
      </c>
      <c r="D65" s="48">
        <f>'Приложение 3'!E71</f>
        <v>0</v>
      </c>
      <c r="E65" s="48">
        <f>'Приложение 3'!F71</f>
        <v>600</v>
      </c>
      <c r="F65" s="47">
        <f>'Приложение 3'!G71</f>
        <v>0</v>
      </c>
      <c r="G65" s="47">
        <f>'Приложение 3'!H71</f>
        <v>20</v>
      </c>
      <c r="H65" s="47">
        <f>'Приложение 3'!I71</f>
        <v>0</v>
      </c>
      <c r="I65" s="121">
        <f t="shared" si="1"/>
        <v>0</v>
      </c>
    </row>
    <row r="66" spans="1:9" ht="38.25" outlineLevel="2">
      <c r="A66" s="53" t="str">
        <f>'Приложение 3'!A72</f>
        <v>Предоставление субсидий бюджетным, автономным учреждениям и иным некоммерческим организациям за счет дотации областного бюджета</v>
      </c>
      <c r="B66" s="48" t="str">
        <f>'Приложение 3'!C72</f>
        <v>0113</v>
      </c>
      <c r="C66" s="48" t="str">
        <f>'Приложение 3'!D72</f>
        <v>03</v>
      </c>
      <c r="D66" s="48">
        <f>'Приложение 3'!E72</f>
        <v>0</v>
      </c>
      <c r="E66" s="48">
        <f>'Приложение 3'!F72</f>
        <v>600</v>
      </c>
      <c r="F66" s="47">
        <f>'Приложение 3'!G72</f>
        <v>3487.3</v>
      </c>
      <c r="G66" s="47">
        <f>'Приложение 3'!H72</f>
        <v>3487.3</v>
      </c>
      <c r="H66" s="47">
        <f>'Приложение 3'!I72</f>
        <v>0</v>
      </c>
      <c r="I66" s="121">
        <f t="shared" si="1"/>
        <v>0</v>
      </c>
    </row>
    <row r="67" spans="1:9" ht="25.5" outlineLevel="2">
      <c r="A67" s="53" t="str">
        <f>'Приложение 3'!A73</f>
        <v>Муниципальная программа "Маршрут Победы на 2016-2018 годы"</v>
      </c>
      <c r="B67" s="48" t="str">
        <f>'Приложение 3'!C73</f>
        <v>0113</v>
      </c>
      <c r="C67" s="48" t="str">
        <f>'Приложение 3'!D73</f>
        <v>15</v>
      </c>
      <c r="D67" s="48">
        <f>'Приложение 3'!E73</f>
        <v>0</v>
      </c>
      <c r="E67" s="48"/>
      <c r="F67" s="47">
        <f>'Приложение 3'!G73</f>
        <v>0</v>
      </c>
      <c r="G67" s="47">
        <f>'Приложение 3'!H73</f>
        <v>50</v>
      </c>
      <c r="H67" s="47">
        <f>'Приложение 3'!I73</f>
        <v>47.44</v>
      </c>
      <c r="I67" s="121">
        <f t="shared" si="1"/>
        <v>94.88</v>
      </c>
    </row>
    <row r="68" spans="1:9" ht="25.5" outlineLevel="2">
      <c r="A68" s="53" t="str">
        <f>'Приложение 3'!A74</f>
        <v>Закупка товаров, работ и услуг для государственных (муниципальных) нужд</v>
      </c>
      <c r="B68" s="48" t="str">
        <f>'Приложение 3'!C74</f>
        <v>0113</v>
      </c>
      <c r="C68" s="48" t="str">
        <f>'Приложение 3'!D74</f>
        <v>15</v>
      </c>
      <c r="D68" s="48">
        <f>'Приложение 3'!E74</f>
        <v>0</v>
      </c>
      <c r="E68" s="48">
        <f>'Приложение 3'!F74</f>
        <v>200</v>
      </c>
      <c r="F68" s="47">
        <f>'Приложение 3'!G74</f>
        <v>0</v>
      </c>
      <c r="G68" s="47">
        <f>'Приложение 3'!H74</f>
        <v>50</v>
      </c>
      <c r="H68" s="47">
        <f>'Приложение 3'!I74</f>
        <v>47.44</v>
      </c>
      <c r="I68" s="121">
        <f t="shared" si="1"/>
        <v>94.88</v>
      </c>
    </row>
    <row r="69" spans="1:9" ht="51" outlineLevel="2">
      <c r="A69" s="53" t="str">
        <f>'Приложение 3'!A75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69" s="48" t="str">
        <f>'Приложение 3'!C75</f>
        <v>0113</v>
      </c>
      <c r="C69" s="48" t="str">
        <f>'Приложение 3'!D75</f>
        <v>20</v>
      </c>
      <c r="D69" s="48">
        <f>'Приложение 3'!E75</f>
        <v>0</v>
      </c>
      <c r="E69" s="48"/>
      <c r="F69" s="47">
        <f>'Приложение 3'!G75</f>
        <v>0</v>
      </c>
      <c r="G69" s="47">
        <f>'Приложение 3'!H75</f>
        <v>100</v>
      </c>
      <c r="H69" s="47">
        <f>'Приложение 3'!I75</f>
        <v>0</v>
      </c>
      <c r="I69" s="121">
        <f t="shared" si="1"/>
        <v>0</v>
      </c>
    </row>
    <row r="70" spans="1:9" ht="25.5" outlineLevel="2">
      <c r="A70" s="53" t="str">
        <f>'Приложение 3'!A76</f>
        <v>Закупка товаров, работ и услуг для государственных (муниципальных) нужд</v>
      </c>
      <c r="B70" s="48" t="str">
        <f>'Приложение 3'!C76</f>
        <v>0113</v>
      </c>
      <c r="C70" s="48" t="str">
        <f>'Приложение 3'!D76</f>
        <v>20</v>
      </c>
      <c r="D70" s="48">
        <f>'Приложение 3'!E76</f>
        <v>0</v>
      </c>
      <c r="E70" s="48">
        <f>'Приложение 3'!F76</f>
        <v>200</v>
      </c>
      <c r="F70" s="47">
        <f>'Приложение 3'!G76</f>
        <v>0</v>
      </c>
      <c r="G70" s="47">
        <f>'Приложение 3'!H76</f>
        <v>100</v>
      </c>
      <c r="H70" s="47">
        <f>'Приложение 3'!I76</f>
        <v>0</v>
      </c>
      <c r="I70" s="121">
        <f t="shared" si="1"/>
        <v>0</v>
      </c>
    </row>
    <row r="71" spans="1:9" ht="38.25" outlineLevel="2">
      <c r="A71" s="53" t="str">
        <f>'Приложение 3'!A77</f>
        <v>Муниципальная программа «Улучшение условий и охраны труда в Алексеевском муниципальном районе на 2014-2016 годы"</v>
      </c>
      <c r="B71" s="48" t="str">
        <f>'Приложение 3'!C77</f>
        <v>0113</v>
      </c>
      <c r="C71" s="48" t="str">
        <f>'Приложение 3'!D77</f>
        <v>21</v>
      </c>
      <c r="D71" s="48">
        <f>'Приложение 3'!E77</f>
        <v>0</v>
      </c>
      <c r="E71" s="48"/>
      <c r="F71" s="47">
        <f>'Приложение 3'!G77</f>
        <v>0</v>
      </c>
      <c r="G71" s="47">
        <f>'Приложение 3'!H77</f>
        <v>20</v>
      </c>
      <c r="H71" s="47">
        <f>'Приложение 3'!I77</f>
        <v>0</v>
      </c>
      <c r="I71" s="121">
        <f t="shared" si="1"/>
        <v>0</v>
      </c>
    </row>
    <row r="72" spans="1:9" ht="25.5" outlineLevel="2">
      <c r="A72" s="53" t="str">
        <f>'Приложение 3'!A78</f>
        <v>Закупка товаров, работ и услуг для государственных (муниципальных) нужд</v>
      </c>
      <c r="B72" s="48" t="str">
        <f>'Приложение 3'!C78</f>
        <v>0113</v>
      </c>
      <c r="C72" s="48" t="str">
        <f>'Приложение 3'!D78</f>
        <v>21</v>
      </c>
      <c r="D72" s="48">
        <f>'Приложение 3'!E78</f>
        <v>0</v>
      </c>
      <c r="E72" s="48">
        <f>'Приложение 3'!F78</f>
        <v>200</v>
      </c>
      <c r="F72" s="47">
        <f>'Приложение 3'!G78</f>
        <v>0</v>
      </c>
      <c r="G72" s="47">
        <f>'Приложение 3'!H78</f>
        <v>20</v>
      </c>
      <c r="H72" s="47">
        <f>'Приложение 3'!I78</f>
        <v>0</v>
      </c>
      <c r="I72" s="121">
        <f t="shared" si="1"/>
        <v>0</v>
      </c>
    </row>
    <row r="73" spans="1:9" ht="51" outlineLevel="2">
      <c r="A73" s="53" t="str">
        <f>'Приложение 3'!A79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73" s="48" t="str">
        <f>'Приложение 3'!C79</f>
        <v>0113</v>
      </c>
      <c r="C73" s="48" t="str">
        <f>'Приложение 3'!D79</f>
        <v>23</v>
      </c>
      <c r="D73" s="48">
        <f>'Приложение 3'!E79</f>
        <v>0</v>
      </c>
      <c r="E73" s="48"/>
      <c r="F73" s="47">
        <f>'Приложение 3'!G79</f>
        <v>0</v>
      </c>
      <c r="G73" s="47">
        <f>'Приложение 3'!H79</f>
        <v>50</v>
      </c>
      <c r="H73" s="47">
        <f>'Приложение 3'!I79</f>
        <v>0</v>
      </c>
      <c r="I73" s="121">
        <f t="shared" si="1"/>
        <v>0</v>
      </c>
    </row>
    <row r="74" spans="1:9" ht="25.5" outlineLevel="2">
      <c r="A74" s="53" t="str">
        <f>'Приложение 3'!A80</f>
        <v>Закупка товаров, работ и услуг для государственных (муниципальных) нужд</v>
      </c>
      <c r="B74" s="48" t="str">
        <f>'Приложение 3'!C80</f>
        <v>0113</v>
      </c>
      <c r="C74" s="48" t="str">
        <f>'Приложение 3'!D80</f>
        <v>23</v>
      </c>
      <c r="D74" s="48">
        <f>'Приложение 3'!E80</f>
        <v>0</v>
      </c>
      <c r="E74" s="48">
        <f>'Приложение 3'!F80</f>
        <v>200</v>
      </c>
      <c r="F74" s="47">
        <f>'Приложение 3'!G80</f>
        <v>0</v>
      </c>
      <c r="G74" s="47">
        <f>'Приложение 3'!H80</f>
        <v>50</v>
      </c>
      <c r="H74" s="47">
        <f>'Приложение 3'!I80</f>
        <v>0</v>
      </c>
      <c r="I74" s="121">
        <f t="shared" si="1"/>
        <v>0</v>
      </c>
    </row>
    <row r="75" spans="1:9" ht="84" customHeight="1" outlineLevel="2">
      <c r="A75" s="53" t="str">
        <f>'Приложение 3'!A81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75" s="48" t="str">
        <f>'Приложение 3'!C81</f>
        <v>0113</v>
      </c>
      <c r="C75" s="48" t="str">
        <f>'Приложение 3'!D81</f>
        <v>50</v>
      </c>
      <c r="D75" s="48">
        <f>'Приложение 3'!E81</f>
        <v>0</v>
      </c>
      <c r="E75" s="48"/>
      <c r="F75" s="47">
        <f>'Приложение 3'!G81</f>
        <v>0</v>
      </c>
      <c r="G75" s="47">
        <f>'Приложение 3'!H81</f>
        <v>3100</v>
      </c>
      <c r="H75" s="47">
        <f>'Приложение 3'!I81</f>
        <v>1947.584</v>
      </c>
      <c r="I75" s="121">
        <f aca="true" t="shared" si="2" ref="I75:I136">SUM(H75/G75)*100</f>
        <v>62.82529032258065</v>
      </c>
    </row>
    <row r="76" spans="1:9" ht="25.5" outlineLevel="2">
      <c r="A76" s="53" t="str">
        <f>'Приложение 3'!A82</f>
        <v>Предоставление субсидий бюджетным, автономным учреждениям и иным некоммерческим организациям</v>
      </c>
      <c r="B76" s="48" t="str">
        <f>'Приложение 3'!C82</f>
        <v>0113</v>
      </c>
      <c r="C76" s="48" t="str">
        <f>'Приложение 3'!D82</f>
        <v>50</v>
      </c>
      <c r="D76" s="48">
        <f>'Приложение 3'!E82</f>
        <v>0</v>
      </c>
      <c r="E76" s="48">
        <f>'Приложение 3'!F82</f>
        <v>600</v>
      </c>
      <c r="F76" s="47">
        <f>'Приложение 3'!G82</f>
        <v>0</v>
      </c>
      <c r="G76" s="47">
        <f>'Приложение 3'!H82</f>
        <v>3100</v>
      </c>
      <c r="H76" s="47">
        <f>'Приложение 3'!I82</f>
        <v>1947.584</v>
      </c>
      <c r="I76" s="121">
        <f t="shared" si="2"/>
        <v>62.82529032258065</v>
      </c>
    </row>
    <row r="77" spans="1:9" ht="76.5" outlineLevel="2">
      <c r="A77" s="53" t="str">
        <f>'Приложение 3'!A83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77" s="48" t="str">
        <f>'Приложение 3'!C83</f>
        <v>0113</v>
      </c>
      <c r="C77" s="48" t="str">
        <f>'Приложение 3'!D83</f>
        <v>51</v>
      </c>
      <c r="D77" s="48">
        <f>'Приложение 3'!E83</f>
        <v>0</v>
      </c>
      <c r="E77" s="48"/>
      <c r="F77" s="47">
        <f>'Приложение 3'!G83</f>
        <v>0</v>
      </c>
      <c r="G77" s="47">
        <f>'Приложение 3'!H83</f>
        <v>16000</v>
      </c>
      <c r="H77" s="47">
        <f>'Приложение 3'!I83</f>
        <v>10274.18845</v>
      </c>
      <c r="I77" s="121">
        <f t="shared" si="2"/>
        <v>64.21367781250001</v>
      </c>
    </row>
    <row r="78" spans="1:9" ht="25.5" outlineLevel="2">
      <c r="A78" s="53" t="str">
        <f>'Приложение 3'!A84</f>
        <v>Предоставление субсидий бюджетным, автономным учреждениям и иным некоммерческим организациям</v>
      </c>
      <c r="B78" s="48" t="str">
        <f>'Приложение 3'!C84</f>
        <v>0113</v>
      </c>
      <c r="C78" s="48" t="str">
        <f>'Приложение 3'!D84</f>
        <v>51</v>
      </c>
      <c r="D78" s="48">
        <f>'Приложение 3'!E84</f>
        <v>0</v>
      </c>
      <c r="E78" s="48">
        <f>'Приложение 3'!F84</f>
        <v>600</v>
      </c>
      <c r="F78" s="47">
        <f>'Приложение 3'!G84</f>
        <v>0</v>
      </c>
      <c r="G78" s="47">
        <f>'Приложение 3'!H84</f>
        <v>16000</v>
      </c>
      <c r="H78" s="47">
        <f>'Приложение 3'!I84</f>
        <v>10274.18845</v>
      </c>
      <c r="I78" s="121">
        <f t="shared" si="2"/>
        <v>64.21367781250001</v>
      </c>
    </row>
    <row r="79" spans="1:9" ht="25.5" outlineLevel="2">
      <c r="A79" s="53" t="str">
        <f>'Приложение 3'!A85</f>
        <v>Государственная  регистрация актов гражданского состояния</v>
      </c>
      <c r="B79" s="48" t="str">
        <f>'Приложение 3'!C85</f>
        <v>0113</v>
      </c>
      <c r="C79" s="48">
        <f>'Приложение 3'!D85</f>
        <v>0</v>
      </c>
      <c r="D79" s="48">
        <f>'Приложение 3'!E85</f>
        <v>0</v>
      </c>
      <c r="E79" s="48"/>
      <c r="F79" s="47">
        <f>'Приложение 3'!G85</f>
        <v>0</v>
      </c>
      <c r="G79" s="47">
        <f>'Приложение 3'!H85</f>
        <v>1018.2</v>
      </c>
      <c r="H79" s="47">
        <f>'Приложение 3'!I85</f>
        <v>456.17108</v>
      </c>
      <c r="I79" s="121">
        <f t="shared" si="2"/>
        <v>44.801716755057946</v>
      </c>
    </row>
    <row r="80" spans="1:9" ht="38.25" outlineLevel="2">
      <c r="A80" s="53" t="str">
        <f>'Приложение 3'!A86</f>
        <v>Непрограммные направления обеспечения деятельности органов местного самоуправления Алексеевского муниципального района</v>
      </c>
      <c r="B80" s="48" t="str">
        <f>'Приложение 3'!C86</f>
        <v>0113</v>
      </c>
      <c r="C80" s="48" t="str">
        <f>'Приложение 3'!D86</f>
        <v>90</v>
      </c>
      <c r="D80" s="48">
        <f>'Приложение 3'!E86</f>
        <v>0</v>
      </c>
      <c r="E80" s="48"/>
      <c r="F80" s="47">
        <f>'Приложение 3'!G86</f>
        <v>0</v>
      </c>
      <c r="G80" s="47">
        <f>'Приложение 3'!H86</f>
        <v>1018.2</v>
      </c>
      <c r="H80" s="47">
        <f>'Приложение 3'!I86</f>
        <v>456.17108</v>
      </c>
      <c r="I80" s="121">
        <f t="shared" si="2"/>
        <v>44.801716755057946</v>
      </c>
    </row>
    <row r="81" spans="1:9" ht="63.75" outlineLevel="2">
      <c r="A81" s="53" t="str">
        <f>'Приложение 3'!A87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48" t="str">
        <f>'Приложение 3'!C87</f>
        <v>0113</v>
      </c>
      <c r="C81" s="48" t="str">
        <f>'Приложение 3'!D87</f>
        <v>90</v>
      </c>
      <c r="D81" s="48" t="str">
        <f>'Приложение 3'!E87</f>
        <v>0</v>
      </c>
      <c r="E81" s="48">
        <f>'Приложение 3'!F87</f>
        <v>100</v>
      </c>
      <c r="F81" s="47">
        <f>'Приложение 3'!G87</f>
        <v>0</v>
      </c>
      <c r="G81" s="47">
        <f>'Приложение 3'!H87</f>
        <v>841.7</v>
      </c>
      <c r="H81" s="47">
        <f>'Приложение 3'!I87</f>
        <v>380.88994</v>
      </c>
      <c r="I81" s="121">
        <f t="shared" si="2"/>
        <v>45.25245812047048</v>
      </c>
    </row>
    <row r="82" spans="1:9" ht="25.5" outlineLevel="2">
      <c r="A82" s="53" t="str">
        <f>'Приложение 3'!A88</f>
        <v>Закупка товаров, работ и услуг для государственных (муниципальных) нужд</v>
      </c>
      <c r="B82" s="48" t="str">
        <f>'Приложение 3'!C88</f>
        <v>0113</v>
      </c>
      <c r="C82" s="48" t="str">
        <f>'Приложение 3'!D88</f>
        <v>90</v>
      </c>
      <c r="D82" s="48" t="str">
        <f>'Приложение 3'!E88</f>
        <v>0</v>
      </c>
      <c r="E82" s="48">
        <f>'Приложение 3'!F88</f>
        <v>200</v>
      </c>
      <c r="F82" s="47">
        <f>'Приложение 3'!G88</f>
        <v>0</v>
      </c>
      <c r="G82" s="47">
        <f>'Приложение 3'!H88</f>
        <v>176.5</v>
      </c>
      <c r="H82" s="47">
        <f>'Приложение 3'!I88</f>
        <v>75.28114</v>
      </c>
      <c r="I82" s="121">
        <f t="shared" si="2"/>
        <v>42.652203966005665</v>
      </c>
    </row>
    <row r="83" spans="1:9" ht="32.25" customHeight="1" outlineLevel="2">
      <c r="A83" s="53" t="str">
        <f>'Приложение 3'!A89</f>
        <v>Оценка недвижимости, признание прав и регулирование отношений  по муниципальной собственности</v>
      </c>
      <c r="B83" s="48" t="str">
        <f>'Приложение 3'!C89</f>
        <v>0113</v>
      </c>
      <c r="C83" s="48" t="str">
        <f>'Приложение 3'!D89</f>
        <v>99</v>
      </c>
      <c r="D83" s="48">
        <f>'Приложение 3'!E89</f>
        <v>0</v>
      </c>
      <c r="E83" s="48"/>
      <c r="F83" s="47">
        <f>'Приложение 3'!G89</f>
        <v>0</v>
      </c>
      <c r="G83" s="47">
        <f>'Приложение 3'!H89</f>
        <v>100</v>
      </c>
      <c r="H83" s="47">
        <f>'Приложение 3'!I89</f>
        <v>2.2</v>
      </c>
      <c r="I83" s="121">
        <f t="shared" si="2"/>
        <v>2.2</v>
      </c>
    </row>
    <row r="84" spans="1:9" ht="31.5" customHeight="1" outlineLevel="2">
      <c r="A84" s="53" t="str">
        <f>'Приложение 3'!A90</f>
        <v>Непрограммные расходы органов местного самоуправления Алексеевского муниципального района</v>
      </c>
      <c r="B84" s="48" t="str">
        <f>'Приложение 3'!C90</f>
        <v>0113</v>
      </c>
      <c r="C84" s="48" t="str">
        <f>'Приложение 3'!D90</f>
        <v>99</v>
      </c>
      <c r="D84" s="48" t="str">
        <f>'Приложение 3'!E90</f>
        <v>0</v>
      </c>
      <c r="E84" s="48"/>
      <c r="F84" s="47">
        <f>'Приложение 3'!G90</f>
        <v>0</v>
      </c>
      <c r="G84" s="47">
        <f>'Приложение 3'!H90</f>
        <v>100</v>
      </c>
      <c r="H84" s="47">
        <f>'Приложение 3'!I90</f>
        <v>2.2</v>
      </c>
      <c r="I84" s="121">
        <f t="shared" si="2"/>
        <v>2.2</v>
      </c>
    </row>
    <row r="85" spans="1:9" ht="28.5" customHeight="1" outlineLevel="2">
      <c r="A85" s="53" t="str">
        <f>'Приложение 3'!A91</f>
        <v>Закупка товаров, работ и услуг для государственных (муниципальных) нужд</v>
      </c>
      <c r="B85" s="48" t="str">
        <f>'Приложение 3'!C91</f>
        <v>0113</v>
      </c>
      <c r="C85" s="48" t="str">
        <f>'Приложение 3'!D91</f>
        <v>99</v>
      </c>
      <c r="D85" s="48" t="str">
        <f>'Приложение 3'!E91</f>
        <v>0</v>
      </c>
      <c r="E85" s="48">
        <f>'Приложение 3'!F91</f>
        <v>200</v>
      </c>
      <c r="F85" s="47">
        <f>'Приложение 3'!G91</f>
        <v>0</v>
      </c>
      <c r="G85" s="47">
        <f>'Приложение 3'!H91</f>
        <v>100</v>
      </c>
      <c r="H85" s="47">
        <f>'Приложение 3'!I91</f>
        <v>2.2</v>
      </c>
      <c r="I85" s="121">
        <f t="shared" si="2"/>
        <v>2.2</v>
      </c>
    </row>
    <row r="86" spans="1:9" ht="25.5" outlineLevel="5">
      <c r="A86" s="53" t="str">
        <f>'Приложение 3'!A92</f>
        <v>Реализация  государственных функций, связанных с общегосударственным управлением</v>
      </c>
      <c r="B86" s="48" t="str">
        <f>'Приложение 3'!C92</f>
        <v>0113</v>
      </c>
      <c r="C86" s="48" t="str">
        <f>'Приложение 3'!D92</f>
        <v>99</v>
      </c>
      <c r="D86" s="48">
        <f>'Приложение 3'!E92</f>
        <v>0</v>
      </c>
      <c r="E86" s="48"/>
      <c r="F86" s="47">
        <f>'Приложение 3'!G92</f>
        <v>-1910.073</v>
      </c>
      <c r="G86" s="47">
        <f>'Приложение 3'!H92</f>
        <v>13009.720840000002</v>
      </c>
      <c r="H86" s="47">
        <f>'Приложение 3'!I92</f>
        <v>2080.23191</v>
      </c>
      <c r="I86" s="121">
        <f t="shared" si="2"/>
        <v>15.989827418925614</v>
      </c>
    </row>
    <row r="87" spans="1:9" ht="29.25" customHeight="1" outlineLevel="5">
      <c r="A87" s="53" t="str">
        <f>'Приложение 3'!A93</f>
        <v>Непрограммные расходы органов местного самоуправления Алексеевского муниципального района</v>
      </c>
      <c r="B87" s="48" t="str">
        <f>'Приложение 3'!C93</f>
        <v>0113</v>
      </c>
      <c r="C87" s="48" t="str">
        <f>'Приложение 3'!D93</f>
        <v>99</v>
      </c>
      <c r="D87" s="48" t="str">
        <f>'Приложение 3'!E93</f>
        <v>0</v>
      </c>
      <c r="E87" s="48"/>
      <c r="F87" s="47">
        <f>'Приложение 3'!G93</f>
        <v>-1910.073</v>
      </c>
      <c r="G87" s="47">
        <f>'Приложение 3'!H93</f>
        <v>13009.720840000002</v>
      </c>
      <c r="H87" s="47">
        <f>'Приложение 3'!I93</f>
        <v>2080.23191</v>
      </c>
      <c r="I87" s="121">
        <f t="shared" si="2"/>
        <v>15.989827418925614</v>
      </c>
    </row>
    <row r="88" spans="1:9" ht="25.5" outlineLevel="5">
      <c r="A88" s="53" t="str">
        <f>'Приложение 3'!A94</f>
        <v>Закупка товаров, работ и услуг для государственных (муниципальных) нужд</v>
      </c>
      <c r="B88" s="48" t="str">
        <f>'Приложение 3'!C94</f>
        <v>0113</v>
      </c>
      <c r="C88" s="48" t="str">
        <f>'Приложение 3'!D94</f>
        <v>99</v>
      </c>
      <c r="D88" s="48">
        <f>'Приложение 3'!E94</f>
        <v>0</v>
      </c>
      <c r="E88" s="48">
        <f>'Приложение 3'!F94</f>
        <v>200</v>
      </c>
      <c r="F88" s="47">
        <f>'Приложение 3'!G94</f>
        <v>-1910.073</v>
      </c>
      <c r="G88" s="47">
        <f>'Приложение 3'!H94</f>
        <v>1545.0208400000001</v>
      </c>
      <c r="H88" s="47">
        <f>'Приложение 3'!I94</f>
        <v>491.75791</v>
      </c>
      <c r="I88" s="121">
        <f t="shared" si="2"/>
        <v>31.82856161344723</v>
      </c>
    </row>
    <row r="89" spans="1:9" ht="15.75" outlineLevel="5">
      <c r="A89" s="53" t="str">
        <f>'Приложение 3'!A95</f>
        <v>Иные бюджетные ассигнования</v>
      </c>
      <c r="B89" s="48" t="str">
        <f>'Приложение 3'!C95</f>
        <v>0113</v>
      </c>
      <c r="C89" s="48" t="str">
        <f>'Приложение 3'!D95</f>
        <v>99</v>
      </c>
      <c r="D89" s="48">
        <f>'Приложение 3'!E95</f>
        <v>0</v>
      </c>
      <c r="E89" s="48">
        <f>'Приложение 3'!F95</f>
        <v>800</v>
      </c>
      <c r="F89" s="47">
        <f>'Приложение 3'!G95</f>
        <v>0</v>
      </c>
      <c r="G89" s="47">
        <f>'Приложение 3'!H95</f>
        <v>11464.7</v>
      </c>
      <c r="H89" s="47">
        <f>'Приложение 3'!I95</f>
        <v>1588.474</v>
      </c>
      <c r="I89" s="121">
        <f t="shared" si="2"/>
        <v>13.855347283400349</v>
      </c>
    </row>
    <row r="90" spans="1:9" ht="38.25" outlineLevel="5">
      <c r="A90" s="53" t="str">
        <f>'Приложение 3'!A96</f>
        <v>Осуществлением полномочий по подготовке и проведению Всероссийской сельскохозяйственной переписи в 2016 году</v>
      </c>
      <c r="B90" s="48" t="str">
        <f>'Приложение 3'!C96</f>
        <v>0113</v>
      </c>
      <c r="C90" s="48" t="str">
        <f>'Приложение 3'!D96</f>
        <v>99</v>
      </c>
      <c r="D90" s="48">
        <f>'Приложение 3'!E96</f>
        <v>0</v>
      </c>
      <c r="E90" s="48"/>
      <c r="F90" s="47">
        <f>'Приложение 3'!G96</f>
        <v>0</v>
      </c>
      <c r="G90" s="47">
        <f>'Приложение 3'!H96</f>
        <v>654.1</v>
      </c>
      <c r="H90" s="47">
        <f>'Приложение 3'!I96</f>
        <v>70.02088</v>
      </c>
      <c r="I90" s="121">
        <f t="shared" si="2"/>
        <v>10.704919737043266</v>
      </c>
    </row>
    <row r="91" spans="1:9" ht="27" customHeight="1" outlineLevel="5">
      <c r="A91" s="53" t="str">
        <f>'Приложение 3'!A97</f>
        <v>Непрограммные расходы органов местного самоуправления Алексеевского муниципального района</v>
      </c>
      <c r="B91" s="48" t="str">
        <f>'Приложение 3'!C97</f>
        <v>0113</v>
      </c>
      <c r="C91" s="48" t="str">
        <f>'Приложение 3'!D97</f>
        <v>99</v>
      </c>
      <c r="D91" s="48" t="str">
        <f>'Приложение 3'!E97</f>
        <v>0</v>
      </c>
      <c r="E91" s="48"/>
      <c r="F91" s="47">
        <f>'Приложение 3'!G97</f>
        <v>0</v>
      </c>
      <c r="G91" s="47">
        <f>'Приложение 3'!H97</f>
        <v>654.1</v>
      </c>
      <c r="H91" s="47">
        <f>'Приложение 3'!I97</f>
        <v>70.02088</v>
      </c>
      <c r="I91" s="121">
        <f t="shared" si="2"/>
        <v>10.704919737043266</v>
      </c>
    </row>
    <row r="92" spans="1:9" ht="25.5" outlineLevel="5">
      <c r="A92" s="53" t="str">
        <f>'Приложение 3'!A98</f>
        <v>Закупка товаров, работ и услуг для государственных (муниципальных) нужд</v>
      </c>
      <c r="B92" s="48" t="str">
        <f>'Приложение 3'!C98</f>
        <v>0113</v>
      </c>
      <c r="C92" s="48" t="str">
        <f>'Приложение 3'!D98</f>
        <v>99</v>
      </c>
      <c r="D92" s="48">
        <f>'Приложение 3'!E98</f>
        <v>0</v>
      </c>
      <c r="E92" s="48">
        <f>'Приложение 3'!F98</f>
        <v>200</v>
      </c>
      <c r="F92" s="47">
        <f>'Приложение 3'!G98</f>
        <v>0</v>
      </c>
      <c r="G92" s="47">
        <f>'Приложение 3'!H98</f>
        <v>654.1</v>
      </c>
      <c r="H92" s="47">
        <f>'Приложение 3'!I98</f>
        <v>70.02088</v>
      </c>
      <c r="I92" s="121">
        <f t="shared" si="2"/>
        <v>10.704919737043266</v>
      </c>
    </row>
    <row r="93" spans="1:9" ht="15.75" outlineLevel="5">
      <c r="A93" s="53" t="str">
        <f>'Приложение 3'!A99</f>
        <v>Условно утвержденные расходы</v>
      </c>
      <c r="B93" s="48" t="str">
        <f>'Приложение 3'!C99</f>
        <v>0113</v>
      </c>
      <c r="C93" s="48" t="str">
        <f>'Приложение 3'!D99</f>
        <v>99</v>
      </c>
      <c r="D93" s="48">
        <f>'Приложение 3'!E99</f>
        <v>0</v>
      </c>
      <c r="E93" s="48" t="s">
        <v>179</v>
      </c>
      <c r="F93" s="47">
        <f>'Приложение 3'!G99</f>
        <v>0</v>
      </c>
      <c r="G93" s="47">
        <f>'Приложение 3'!H99</f>
        <v>0</v>
      </c>
      <c r="H93" s="47">
        <f>'Приложение 3'!I99</f>
        <v>0</v>
      </c>
      <c r="I93" s="121">
        <v>0</v>
      </c>
    </row>
    <row r="94" spans="1:9" ht="15.75" outlineLevel="5">
      <c r="A94" s="53" t="str">
        <f>'Приложение 3'!A100</f>
        <v>Национальная оборона </v>
      </c>
      <c r="B94" s="48" t="str">
        <f>'Приложение 3'!C100</f>
        <v>0200</v>
      </c>
      <c r="C94" s="48"/>
      <c r="D94" s="48"/>
      <c r="E94" s="48"/>
      <c r="F94" s="47">
        <f>'Приложение 3'!G100</f>
        <v>0</v>
      </c>
      <c r="G94" s="47">
        <f>'Приложение 3'!H100</f>
        <v>20</v>
      </c>
      <c r="H94" s="47">
        <f>'Приложение 3'!I100</f>
        <v>0</v>
      </c>
      <c r="I94" s="121">
        <f t="shared" si="2"/>
        <v>0</v>
      </c>
    </row>
    <row r="95" spans="1:9" ht="15.75" outlineLevel="5">
      <c r="A95" s="53" t="str">
        <f>'Приложение 3'!A101</f>
        <v>Мобилизационная подготовка экономики</v>
      </c>
      <c r="B95" s="48" t="str">
        <f>'Приложение 3'!C101</f>
        <v>0204</v>
      </c>
      <c r="C95" s="48"/>
      <c r="D95" s="48"/>
      <c r="E95" s="48"/>
      <c r="F95" s="47">
        <f>'Приложение 3'!G101</f>
        <v>0</v>
      </c>
      <c r="G95" s="47">
        <f>'Приложение 3'!H101</f>
        <v>20</v>
      </c>
      <c r="H95" s="47">
        <f>'Приложение 3'!I101</f>
        <v>0</v>
      </c>
      <c r="I95" s="121">
        <f t="shared" si="2"/>
        <v>0</v>
      </c>
    </row>
    <row r="96" spans="1:9" ht="25.5" outlineLevel="2">
      <c r="A96" s="53" t="str">
        <f>'Приложение 3'!A102</f>
        <v>Мероприятия по обеспечению мобилизационной готовности экономики</v>
      </c>
      <c r="B96" s="48" t="str">
        <f>'Приложение 3'!C102</f>
        <v>0204</v>
      </c>
      <c r="C96" s="48"/>
      <c r="D96" s="48"/>
      <c r="E96" s="48"/>
      <c r="F96" s="47">
        <f>'Приложение 3'!G102</f>
        <v>0</v>
      </c>
      <c r="G96" s="47">
        <f>'Приложение 3'!H102</f>
        <v>20</v>
      </c>
      <c r="H96" s="47">
        <f>'Приложение 3'!I102</f>
        <v>0</v>
      </c>
      <c r="I96" s="121">
        <f t="shared" si="2"/>
        <v>0</v>
      </c>
    </row>
    <row r="97" spans="1:9" ht="24.75" customHeight="1" outlineLevel="5">
      <c r="A97" s="53" t="str">
        <f>'Приложение 3'!A103</f>
        <v>Непрограммные расходы органов местного самоуправления Алексеевского муниципального района</v>
      </c>
      <c r="B97" s="48" t="str">
        <f>'Приложение 3'!C103</f>
        <v>0204</v>
      </c>
      <c r="C97" s="48" t="str">
        <f>'Приложение 3'!D103</f>
        <v>99</v>
      </c>
      <c r="D97" s="48">
        <f>'Приложение 3'!E103</f>
        <v>0</v>
      </c>
      <c r="E97" s="48"/>
      <c r="F97" s="47">
        <f>'Приложение 3'!G103</f>
        <v>0</v>
      </c>
      <c r="G97" s="47">
        <f>'Приложение 3'!H103</f>
        <v>20</v>
      </c>
      <c r="H97" s="47">
        <f>'Приложение 3'!I103</f>
        <v>0</v>
      </c>
      <c r="I97" s="121">
        <f t="shared" si="2"/>
        <v>0</v>
      </c>
    </row>
    <row r="98" spans="1:9" ht="24.75" customHeight="1" outlineLevel="5">
      <c r="A98" s="53" t="str">
        <f>'Приложение 3'!A104</f>
        <v>Закупка товаров, работ и услуг для государственных (муниципальных) нужд</v>
      </c>
      <c r="B98" s="48" t="str">
        <f>'Приложение 3'!C104</f>
        <v>0204</v>
      </c>
      <c r="C98" s="48" t="str">
        <f>'Приложение 3'!D104</f>
        <v>99</v>
      </c>
      <c r="D98" s="48">
        <f>'Приложение 3'!E104</f>
        <v>0</v>
      </c>
      <c r="E98" s="48">
        <f>'Приложение 3'!F104</f>
        <v>200</v>
      </c>
      <c r="F98" s="47">
        <f>'Приложение 3'!G104</f>
        <v>0</v>
      </c>
      <c r="G98" s="47">
        <f>'Приложение 3'!H104</f>
        <v>20</v>
      </c>
      <c r="H98" s="47">
        <f>'Приложение 3'!I104</f>
        <v>0</v>
      </c>
      <c r="I98" s="121">
        <f t="shared" si="2"/>
        <v>0</v>
      </c>
    </row>
    <row r="99" spans="1:9" ht="25.5" outlineLevel="5">
      <c r="A99" s="53" t="str">
        <f>'Приложение 3'!A105</f>
        <v>Национальная безопасность и правоохранительная деятельность</v>
      </c>
      <c r="B99" s="48" t="str">
        <f>'Приложение 3'!C105</f>
        <v>0300</v>
      </c>
      <c r="C99" s="48"/>
      <c r="D99" s="48"/>
      <c r="E99" s="48"/>
      <c r="F99" s="47">
        <f>'Приложение 3'!G105</f>
        <v>0</v>
      </c>
      <c r="G99" s="47">
        <f>'Приложение 3'!H105</f>
        <v>70</v>
      </c>
      <c r="H99" s="47">
        <f>'Приложение 3'!I105</f>
        <v>0</v>
      </c>
      <c r="I99" s="121">
        <f t="shared" si="2"/>
        <v>0</v>
      </c>
    </row>
    <row r="100" spans="1:9" ht="38.25" outlineLevel="2">
      <c r="A100" s="53" t="str">
        <f>'Приложение 3'!A106</f>
        <v>Предупреждение и ликвидация последствий чрезвычайных ситуаций и стихийных бедствий природного и техногенного характера</v>
      </c>
      <c r="B100" s="48" t="str">
        <f>'Приложение 3'!C106</f>
        <v>0309</v>
      </c>
      <c r="C100" s="48"/>
      <c r="D100" s="48"/>
      <c r="E100" s="48"/>
      <c r="F100" s="47">
        <f>'Приложение 3'!G106</f>
        <v>0</v>
      </c>
      <c r="G100" s="47">
        <f>'Приложение 3'!H106</f>
        <v>50</v>
      </c>
      <c r="H100" s="47">
        <f>'Приложение 3'!I106</f>
        <v>0</v>
      </c>
      <c r="I100" s="121">
        <f t="shared" si="2"/>
        <v>0</v>
      </c>
    </row>
    <row r="101" spans="1:9" ht="28.5" customHeight="1" outlineLevel="5">
      <c r="A101" s="53" t="str">
        <f>'Приложение 3'!A107</f>
        <v>Непрограммные расходы органов местного самоуправления Алексеевского муниципального района</v>
      </c>
      <c r="B101" s="48" t="str">
        <f>'Приложение 3'!C107</f>
        <v>0309</v>
      </c>
      <c r="C101" s="48" t="str">
        <f>'Приложение 3'!D107</f>
        <v>99</v>
      </c>
      <c r="D101" s="48">
        <f>'Приложение 3'!E107</f>
        <v>0</v>
      </c>
      <c r="E101" s="48"/>
      <c r="F101" s="47">
        <f>'Приложение 3'!G107</f>
        <v>0</v>
      </c>
      <c r="G101" s="47">
        <f>'Приложение 3'!H107</f>
        <v>50</v>
      </c>
      <c r="H101" s="47">
        <f>'Приложение 3'!I107</f>
        <v>0</v>
      </c>
      <c r="I101" s="121">
        <f t="shared" si="2"/>
        <v>0</v>
      </c>
    </row>
    <row r="102" spans="1:9" ht="27" customHeight="1" outlineLevel="5">
      <c r="A102" s="53" t="str">
        <f>'Приложение 3'!A108</f>
        <v>Закупка товаров, работ и услуг для государственных (муниципальных) нужд</v>
      </c>
      <c r="B102" s="48" t="str">
        <f>'Приложение 3'!C108</f>
        <v>0309</v>
      </c>
      <c r="C102" s="48" t="str">
        <f>'Приложение 3'!D108</f>
        <v>99</v>
      </c>
      <c r="D102" s="48">
        <f>'Приложение 3'!E108</f>
        <v>0</v>
      </c>
      <c r="E102" s="48">
        <f>'Приложение 3'!F108</f>
        <v>200</v>
      </c>
      <c r="F102" s="47">
        <f>'Приложение 3'!G108</f>
        <v>0</v>
      </c>
      <c r="G102" s="47">
        <f>'Приложение 3'!H108</f>
        <v>50</v>
      </c>
      <c r="H102" s="47">
        <f>'Приложение 3'!I108</f>
        <v>0</v>
      </c>
      <c r="I102" s="121">
        <f t="shared" si="2"/>
        <v>0</v>
      </c>
    </row>
    <row r="103" spans="1:9" ht="25.5" outlineLevel="1">
      <c r="A103" s="53" t="str">
        <f>'Приложение 3'!A109</f>
        <v>Подготовка населения и организаций к действиям в чрезвычайных ситуациях в мирное и военное время</v>
      </c>
      <c r="B103" s="48" t="str">
        <f>'Приложение 3'!C109</f>
        <v>0309</v>
      </c>
      <c r="C103" s="48"/>
      <c r="D103" s="48"/>
      <c r="E103" s="48"/>
      <c r="F103" s="47">
        <f>'Приложение 3'!G109</f>
        <v>0</v>
      </c>
      <c r="G103" s="47">
        <f>'Приложение 3'!H109</f>
        <v>20</v>
      </c>
      <c r="H103" s="47">
        <f>'Приложение 3'!I109</f>
        <v>0</v>
      </c>
      <c r="I103" s="121">
        <f t="shared" si="2"/>
        <v>0</v>
      </c>
    </row>
    <row r="104" spans="1:9" ht="28.5" customHeight="1" outlineLevel="2">
      <c r="A104" s="53" t="str">
        <f>'Приложение 3'!A110</f>
        <v>Непрограммные расходы органов местного самоуправления Алексеевского муниципального района</v>
      </c>
      <c r="B104" s="48" t="str">
        <f>'Приложение 3'!C110</f>
        <v>0309</v>
      </c>
      <c r="C104" s="48" t="str">
        <f>'Приложение 3'!D110</f>
        <v>99</v>
      </c>
      <c r="D104" s="48">
        <f>'Приложение 3'!E110</f>
        <v>0</v>
      </c>
      <c r="E104" s="48"/>
      <c r="F104" s="47">
        <f>'Приложение 3'!G110</f>
        <v>0</v>
      </c>
      <c r="G104" s="47">
        <f>'Приложение 3'!H110</f>
        <v>20</v>
      </c>
      <c r="H104" s="47">
        <f>'Приложение 3'!I110</f>
        <v>0</v>
      </c>
      <c r="I104" s="121">
        <f t="shared" si="2"/>
        <v>0</v>
      </c>
    </row>
    <row r="105" spans="1:9" ht="27" customHeight="1" outlineLevel="3">
      <c r="A105" s="53" t="str">
        <f>'Приложение 3'!A111</f>
        <v>Закупка товаров, работ и услуг для государственных (муниципальных) нужд</v>
      </c>
      <c r="B105" s="48" t="str">
        <f>'Приложение 3'!C111</f>
        <v>0309</v>
      </c>
      <c r="C105" s="48" t="str">
        <f>'Приложение 3'!D111</f>
        <v>99</v>
      </c>
      <c r="D105" s="48">
        <f>'Приложение 3'!E111</f>
        <v>0</v>
      </c>
      <c r="E105" s="48">
        <f>'Приложение 3'!F111</f>
        <v>200</v>
      </c>
      <c r="F105" s="47">
        <f>'Приложение 3'!G111</f>
        <v>0</v>
      </c>
      <c r="G105" s="47">
        <f>'Приложение 3'!H111</f>
        <v>20</v>
      </c>
      <c r="H105" s="47">
        <f>'Приложение 3'!I111</f>
        <v>0</v>
      </c>
      <c r="I105" s="121">
        <f t="shared" si="2"/>
        <v>0</v>
      </c>
    </row>
    <row r="106" spans="1:9" ht="15.75" outlineLevel="3">
      <c r="A106" s="53" t="str">
        <f>'Приложение 3'!A112</f>
        <v>Национальная экономика</v>
      </c>
      <c r="B106" s="48" t="str">
        <f>'Приложение 3'!C112</f>
        <v>0400</v>
      </c>
      <c r="C106" s="48"/>
      <c r="D106" s="48"/>
      <c r="E106" s="48"/>
      <c r="F106" s="47">
        <f>'Приложение 3'!G112</f>
        <v>0</v>
      </c>
      <c r="G106" s="47">
        <f>'Приложение 3'!H112</f>
        <v>14004.837809999999</v>
      </c>
      <c r="H106" s="47">
        <f>'Приложение 3'!I112</f>
        <v>185.7039</v>
      </c>
      <c r="I106" s="121">
        <f t="shared" si="2"/>
        <v>1.3259982194681341</v>
      </c>
    </row>
    <row r="107" spans="1:9" ht="15.75" outlineLevel="3">
      <c r="A107" s="53" t="str">
        <f>'Приложение 3'!A113</f>
        <v>Сельское хозяйство и рыболовство</v>
      </c>
      <c r="B107" s="48" t="str">
        <f>'Приложение 3'!C113</f>
        <v>0405</v>
      </c>
      <c r="C107" s="48"/>
      <c r="D107" s="48"/>
      <c r="E107" s="48"/>
      <c r="F107" s="47">
        <f>'Приложение 3'!G113</f>
        <v>0</v>
      </c>
      <c r="G107" s="47">
        <f>'Приложение 3'!H113</f>
        <v>24.8</v>
      </c>
      <c r="H107" s="47">
        <f>'Приложение 3'!I113</f>
        <v>0</v>
      </c>
      <c r="I107" s="121">
        <f t="shared" si="2"/>
        <v>0</v>
      </c>
    </row>
    <row r="108" spans="1:9" ht="51" outlineLevel="3">
      <c r="A108" s="53" t="str">
        <f>'Приложение 3'!A114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v>
      </c>
      <c r="B108" s="48" t="str">
        <f>'Приложение 3'!C114</f>
        <v>0405</v>
      </c>
      <c r="C108" s="48"/>
      <c r="D108" s="48"/>
      <c r="E108" s="48"/>
      <c r="F108" s="47">
        <f>'Приложение 3'!G114</f>
        <v>0</v>
      </c>
      <c r="G108" s="47">
        <f>'Приложение 3'!H114</f>
        <v>24.8</v>
      </c>
      <c r="H108" s="47">
        <f>'Приложение 3'!I114</f>
        <v>0</v>
      </c>
      <c r="I108" s="121">
        <f t="shared" si="2"/>
        <v>0</v>
      </c>
    </row>
    <row r="109" spans="1:9" ht="30.75" customHeight="1" outlineLevel="3">
      <c r="A109" s="53" t="str">
        <f>'Приложение 3'!A115</f>
        <v>Непрограммные расходы органов местного самоуправления Алексеевского муниципального района</v>
      </c>
      <c r="B109" s="48" t="str">
        <f>'Приложение 3'!C115</f>
        <v>0405</v>
      </c>
      <c r="C109" s="48" t="str">
        <f>'Приложение 3'!D115</f>
        <v>99</v>
      </c>
      <c r="D109" s="48">
        <f>'Приложение 3'!E115</f>
        <v>0</v>
      </c>
      <c r="E109" s="48"/>
      <c r="F109" s="47">
        <f>'Приложение 3'!G115</f>
        <v>0</v>
      </c>
      <c r="G109" s="47">
        <f>'Приложение 3'!H115</f>
        <v>24.8</v>
      </c>
      <c r="H109" s="47">
        <f>'Приложение 3'!I115</f>
        <v>0</v>
      </c>
      <c r="I109" s="121">
        <f t="shared" si="2"/>
        <v>0</v>
      </c>
    </row>
    <row r="110" spans="1:9" ht="29.25" customHeight="1" outlineLevel="3">
      <c r="A110" s="53" t="str">
        <f>'Приложение 3'!A116</f>
        <v>Закупка товаров, работ и услуг для государственных (муниципальных) нужд</v>
      </c>
      <c r="B110" s="48" t="str">
        <f>'Приложение 3'!C116</f>
        <v>0405</v>
      </c>
      <c r="C110" s="48" t="str">
        <f>'Приложение 3'!D116</f>
        <v>99</v>
      </c>
      <c r="D110" s="48">
        <f>'Приложение 3'!E116</f>
        <v>0</v>
      </c>
      <c r="E110" s="48">
        <f>'Приложение 3'!F116</f>
        <v>200</v>
      </c>
      <c r="F110" s="47">
        <f>'Приложение 3'!G116</f>
        <v>0</v>
      </c>
      <c r="G110" s="47">
        <f>'Приложение 3'!H116</f>
        <v>24.8</v>
      </c>
      <c r="H110" s="47">
        <f>'Приложение 3'!I116</f>
        <v>0</v>
      </c>
      <c r="I110" s="121">
        <f t="shared" si="2"/>
        <v>0</v>
      </c>
    </row>
    <row r="111" spans="1:9" ht="15.75" outlineLevel="3">
      <c r="A111" s="53" t="str">
        <f>'Приложение 3'!A117</f>
        <v>Дорожное хозяйство (дорожные фонды)</v>
      </c>
      <c r="B111" s="48" t="str">
        <f>'Приложение 3'!C117</f>
        <v>0409</v>
      </c>
      <c r="C111" s="48"/>
      <c r="D111" s="48"/>
      <c r="E111" s="48"/>
      <c r="F111" s="47">
        <f>'Приложение 3'!G117</f>
        <v>0</v>
      </c>
      <c r="G111" s="47">
        <f>'Приложение 3'!H117</f>
        <v>10625.03781</v>
      </c>
      <c r="H111" s="47">
        <f>'Приложение 3'!I117</f>
        <v>0</v>
      </c>
      <c r="I111" s="121">
        <f t="shared" si="2"/>
        <v>0</v>
      </c>
    </row>
    <row r="112" spans="1:9" ht="51" outlineLevel="3">
      <c r="A112" s="53" t="str">
        <f>'Приложение 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v>
      </c>
      <c r="B112" s="48" t="str">
        <f>'Приложение 3'!C118</f>
        <v>0409</v>
      </c>
      <c r="C112" s="48" t="str">
        <f>'Приложение 3'!D118</f>
        <v>18</v>
      </c>
      <c r="D112" s="48">
        <f>'Приложение 3'!E118</f>
        <v>0</v>
      </c>
      <c r="E112" s="48"/>
      <c r="F112" s="47">
        <f>'Приложение 3'!G118</f>
        <v>0</v>
      </c>
      <c r="G112" s="47">
        <f>'Приложение 3'!H118</f>
        <v>10625.03781</v>
      </c>
      <c r="H112" s="47">
        <f>'Приложение 3'!I118</f>
        <v>0</v>
      </c>
      <c r="I112" s="121">
        <f t="shared" si="2"/>
        <v>0</v>
      </c>
    </row>
    <row r="113" spans="1:9" ht="27" customHeight="1" outlineLevel="1">
      <c r="A113" s="53" t="str">
        <f>'Приложение 3'!A119</f>
        <v>Закупка товаров, работ и услуг для государственных (муниципальных) нужд</v>
      </c>
      <c r="B113" s="48" t="str">
        <f>'Приложение 3'!C119</f>
        <v>0409</v>
      </c>
      <c r="C113" s="48" t="str">
        <f>'Приложение 3'!D119</f>
        <v>18</v>
      </c>
      <c r="D113" s="48">
        <f>'Приложение 3'!E119</f>
        <v>0</v>
      </c>
      <c r="E113" s="48">
        <f>'Приложение 3'!F119</f>
        <v>200</v>
      </c>
      <c r="F113" s="47">
        <f>'Приложение 3'!G119</f>
        <v>-3000</v>
      </c>
      <c r="G113" s="47">
        <f>'Приложение 3'!H119</f>
        <v>7625.03781</v>
      </c>
      <c r="H113" s="47">
        <f>'Приложение 3'!I119</f>
        <v>0</v>
      </c>
      <c r="I113" s="121">
        <f t="shared" si="2"/>
        <v>0</v>
      </c>
    </row>
    <row r="114" spans="1:9" ht="21.75" customHeight="1" outlineLevel="1">
      <c r="A114" s="53" t="str">
        <f>'Приложение 3'!A120</f>
        <v>Межбюджетные трансферты</v>
      </c>
      <c r="B114" s="48" t="str">
        <f>'Приложение 3'!C120</f>
        <v>0409</v>
      </c>
      <c r="C114" s="48" t="str">
        <f>'Приложение 3'!D120</f>
        <v>18</v>
      </c>
      <c r="D114" s="48">
        <f>'Приложение 3'!E120</f>
        <v>0</v>
      </c>
      <c r="E114" s="48">
        <f>'Приложение 3'!F120</f>
        <v>500</v>
      </c>
      <c r="F114" s="47">
        <f>'Приложение 3'!G120</f>
        <v>3000</v>
      </c>
      <c r="G114" s="47">
        <f>'Приложение 3'!H120</f>
        <v>3000</v>
      </c>
      <c r="H114" s="47">
        <f>'Приложение 3'!I120</f>
        <v>0</v>
      </c>
      <c r="I114" s="121">
        <f t="shared" si="2"/>
        <v>0</v>
      </c>
    </row>
    <row r="115" spans="1:9" ht="15.75" outlineLevel="2">
      <c r="A115" s="53" t="str">
        <f>'Приложение 3'!A121</f>
        <v>Другие вопросы в области национальной экономики</v>
      </c>
      <c r="B115" s="48" t="str">
        <f>'Приложение 3'!C121</f>
        <v>0412</v>
      </c>
      <c r="C115" s="48"/>
      <c r="D115" s="48"/>
      <c r="E115" s="48"/>
      <c r="F115" s="47">
        <f>'Приложение 3'!G121</f>
        <v>0</v>
      </c>
      <c r="G115" s="47">
        <f>'Приложение 3'!H121</f>
        <v>3355</v>
      </c>
      <c r="H115" s="47">
        <f>'Приложение 3'!I121</f>
        <v>185.7039</v>
      </c>
      <c r="I115" s="121">
        <f t="shared" si="2"/>
        <v>5.535138599105812</v>
      </c>
    </row>
    <row r="116" spans="1:9" ht="38.25" outlineLevel="2">
      <c r="A116" s="53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2016-2018 годы "</v>
      </c>
      <c r="B116" s="48" t="str">
        <f>'Приложение 3'!C122</f>
        <v>0412</v>
      </c>
      <c r="C116" s="48" t="str">
        <f>'Приложение 3'!D122</f>
        <v>04</v>
      </c>
      <c r="D116" s="48">
        <f>'Приложение 3'!E122</f>
        <v>0</v>
      </c>
      <c r="E116" s="48"/>
      <c r="F116" s="47">
        <f>'Приложение 3'!G122</f>
        <v>0</v>
      </c>
      <c r="G116" s="47">
        <f>'Приложение 3'!H122</f>
        <v>300</v>
      </c>
      <c r="H116" s="47">
        <f>'Приложение 3'!I122</f>
        <v>76.494</v>
      </c>
      <c r="I116" s="121">
        <f t="shared" si="2"/>
        <v>25.497999999999998</v>
      </c>
    </row>
    <row r="117" spans="1:9" ht="25.5" outlineLevel="2">
      <c r="A117" s="53" t="str">
        <f>'Приложение 3'!A123</f>
        <v>Закупка товаров, работ и услуг для государственных (муниципальных) нужд</v>
      </c>
      <c r="B117" s="48" t="str">
        <f>'Приложение 3'!C123</f>
        <v>0412</v>
      </c>
      <c r="C117" s="48" t="str">
        <f>'Приложение 3'!D123</f>
        <v>04</v>
      </c>
      <c r="D117" s="48">
        <f>'Приложение 3'!E123</f>
        <v>0</v>
      </c>
      <c r="E117" s="48">
        <f>'Приложение 3'!F123</f>
        <v>200</v>
      </c>
      <c r="F117" s="47">
        <f>'Приложение 3'!G123</f>
        <v>0</v>
      </c>
      <c r="G117" s="47">
        <f>'Приложение 3'!H123</f>
        <v>50</v>
      </c>
      <c r="H117" s="47">
        <f>'Приложение 3'!I123</f>
        <v>26.494</v>
      </c>
      <c r="I117" s="121">
        <f t="shared" si="2"/>
        <v>52.988</v>
      </c>
    </row>
    <row r="118" spans="1:9" ht="15.75" outlineLevel="2">
      <c r="A118" s="53" t="str">
        <f>'Приложение 3'!A124</f>
        <v>Социальное обеспечение и иные выплаты населению</v>
      </c>
      <c r="B118" s="48" t="str">
        <f>'Приложение 3'!C124</f>
        <v>0412</v>
      </c>
      <c r="C118" s="48" t="str">
        <f>'Приложение 3'!D124</f>
        <v>04</v>
      </c>
      <c r="D118" s="48">
        <f>'Приложение 3'!E124</f>
        <v>0</v>
      </c>
      <c r="E118" s="48">
        <f>'Приложение 3'!F124</f>
        <v>300</v>
      </c>
      <c r="F118" s="47">
        <f>'Приложение 3'!G124</f>
        <v>0</v>
      </c>
      <c r="G118" s="47">
        <f>'Приложение 3'!H124</f>
        <v>50</v>
      </c>
      <c r="H118" s="47">
        <f>'Приложение 3'!I124</f>
        <v>50</v>
      </c>
      <c r="I118" s="121">
        <f t="shared" si="2"/>
        <v>100</v>
      </c>
    </row>
    <row r="119" spans="1:9" ht="15.75" outlineLevel="2">
      <c r="A119" s="53" t="str">
        <f>'Приложение 3'!A125</f>
        <v>Иные бюджетные ассигнования</v>
      </c>
      <c r="B119" s="48" t="str">
        <f>'Приложение 3'!C125</f>
        <v>0412</v>
      </c>
      <c r="C119" s="48" t="str">
        <f>'Приложение 3'!D125</f>
        <v>04</v>
      </c>
      <c r="D119" s="48">
        <f>'Приложение 3'!E125</f>
        <v>0</v>
      </c>
      <c r="E119" s="48">
        <f>'Приложение 3'!F125</f>
        <v>800</v>
      </c>
      <c r="F119" s="47">
        <f>'Приложение 3'!G125</f>
        <v>0</v>
      </c>
      <c r="G119" s="47">
        <f>'Приложение 3'!H125</f>
        <v>200</v>
      </c>
      <c r="H119" s="47">
        <f>'Приложение 3'!I125</f>
        <v>0</v>
      </c>
      <c r="I119" s="121">
        <f t="shared" si="2"/>
        <v>0</v>
      </c>
    </row>
    <row r="120" spans="1:9" ht="48.75" customHeight="1" outlineLevel="2">
      <c r="A120" s="53" t="str">
        <f>'Приложение 3'!A126</f>
        <v>Муниципальная программа "Поддержка социально ориентированных некоммерческих организаций  Алексеевского муниципального района на 2014-2016 годы "</v>
      </c>
      <c r="B120" s="48" t="str">
        <f>'Приложение 3'!C126</f>
        <v>0412</v>
      </c>
      <c r="C120" s="48" t="str">
        <f>'Приложение 3'!D126</f>
        <v>19</v>
      </c>
      <c r="D120" s="48"/>
      <c r="E120" s="48"/>
      <c r="F120" s="47">
        <f>'Приложение 3'!G126</f>
        <v>0</v>
      </c>
      <c r="G120" s="47">
        <f>'Приложение 3'!H126</f>
        <v>100</v>
      </c>
      <c r="H120" s="47">
        <f>'Приложение 3'!I126</f>
        <v>0</v>
      </c>
      <c r="I120" s="121">
        <f t="shared" si="2"/>
        <v>0</v>
      </c>
    </row>
    <row r="121" spans="1:9" ht="25.5" outlineLevel="2">
      <c r="A121" s="53" t="str">
        <f>'Приложение 3'!A127</f>
        <v>Предоставление субсидий бюджетным, автономным учреждениям и иным некоммерческим организациям</v>
      </c>
      <c r="B121" s="48" t="str">
        <f>'Приложение 3'!C127</f>
        <v>0412</v>
      </c>
      <c r="C121" s="48" t="str">
        <f>'Приложение 3'!D127</f>
        <v>19</v>
      </c>
      <c r="D121" s="48">
        <f>'Приложение 3'!E127</f>
        <v>0</v>
      </c>
      <c r="E121" s="48">
        <f>'Приложение 3'!F127</f>
        <v>600</v>
      </c>
      <c r="F121" s="47">
        <f>'Приложение 3'!G127</f>
        <v>0</v>
      </c>
      <c r="G121" s="47">
        <f>'Приложение 3'!H127</f>
        <v>100</v>
      </c>
      <c r="H121" s="47">
        <f>'Приложение 3'!I127</f>
        <v>0</v>
      </c>
      <c r="I121" s="121">
        <f t="shared" si="2"/>
        <v>0</v>
      </c>
    </row>
    <row r="122" spans="1:9" ht="19.5" customHeight="1" outlineLevel="3">
      <c r="A122" s="53" t="str">
        <f>'Приложение 3'!A128</f>
        <v>Мероприятия по землеустройству и землепользованию</v>
      </c>
      <c r="B122" s="48" t="str">
        <f>'Приложение 3'!C128</f>
        <v>0412</v>
      </c>
      <c r="C122" s="48"/>
      <c r="D122" s="48"/>
      <c r="E122" s="48"/>
      <c r="F122" s="47">
        <f>'Приложение 3'!G128</f>
        <v>0</v>
      </c>
      <c r="G122" s="47">
        <f>'Приложение 3'!H128</f>
        <v>325</v>
      </c>
      <c r="H122" s="47">
        <f>'Приложение 3'!I128</f>
        <v>74.64</v>
      </c>
      <c r="I122" s="121">
        <f t="shared" si="2"/>
        <v>22.966153846153848</v>
      </c>
    </row>
    <row r="123" spans="1:9" ht="30" customHeight="1">
      <c r="A123" s="53" t="str">
        <f>'Приложение 3'!A129</f>
        <v>Непрограммные расходы органов местного самоуправления Алексеевского муниципального района</v>
      </c>
      <c r="B123" s="48" t="str">
        <f>'Приложение 3'!C129</f>
        <v>0412</v>
      </c>
      <c r="C123" s="48" t="str">
        <f>'Приложение 3'!D129</f>
        <v>99</v>
      </c>
      <c r="D123" s="48">
        <f>'Приложение 3'!E129</f>
        <v>0</v>
      </c>
      <c r="E123" s="48"/>
      <c r="F123" s="47">
        <f>'Приложение 3'!G129</f>
        <v>0</v>
      </c>
      <c r="G123" s="47">
        <f>'Приложение 3'!H129</f>
        <v>325</v>
      </c>
      <c r="H123" s="47">
        <f>'Приложение 3'!I129</f>
        <v>74.64</v>
      </c>
      <c r="I123" s="121">
        <f t="shared" si="2"/>
        <v>22.966153846153848</v>
      </c>
    </row>
    <row r="124" spans="1:9" ht="25.5" customHeight="1" outlineLevel="1">
      <c r="A124" s="53" t="str">
        <f>'Приложение 3'!A130</f>
        <v>Закупка товаров, работ и услуг для государственных (муниципальных) нужд</v>
      </c>
      <c r="B124" s="48" t="str">
        <f>'Приложение 3'!C130</f>
        <v>0412</v>
      </c>
      <c r="C124" s="48" t="str">
        <f>'Приложение 3'!D130</f>
        <v>99</v>
      </c>
      <c r="D124" s="48">
        <f>'Приложение 3'!E130</f>
        <v>0</v>
      </c>
      <c r="E124" s="48">
        <f>'Приложение 3'!F130</f>
        <v>200</v>
      </c>
      <c r="F124" s="47">
        <f>'Приложение 3'!G130</f>
        <v>0</v>
      </c>
      <c r="G124" s="47">
        <f>'Приложение 3'!H130</f>
        <v>325</v>
      </c>
      <c r="H124" s="47">
        <f>'Приложение 3'!I130</f>
        <v>74.64</v>
      </c>
      <c r="I124" s="121">
        <f t="shared" si="2"/>
        <v>22.966153846153848</v>
      </c>
    </row>
    <row r="125" spans="1:9" ht="25.5" outlineLevel="2">
      <c r="A125" s="53" t="str">
        <f>'Приложение 3'!A131</f>
        <v>Мероприятия в области строительства, архитектуры и градостроения</v>
      </c>
      <c r="B125" s="48" t="str">
        <f>'Приложение 3'!C131</f>
        <v>0412</v>
      </c>
      <c r="C125" s="48"/>
      <c r="D125" s="48"/>
      <c r="E125" s="48"/>
      <c r="F125" s="47">
        <f>'Приложение 3'!G131</f>
        <v>0</v>
      </c>
      <c r="G125" s="47">
        <f>'Приложение 3'!H131</f>
        <v>2630</v>
      </c>
      <c r="H125" s="47">
        <f>'Приложение 3'!I131</f>
        <v>34.5699</v>
      </c>
      <c r="I125" s="121">
        <f t="shared" si="2"/>
        <v>1.314444866920152</v>
      </c>
    </row>
    <row r="126" spans="1:9" ht="32.25" customHeight="1" outlineLevel="2">
      <c r="A126" s="53" t="str">
        <f>'Приложение 3'!A132</f>
        <v>Непрограммные расходы органов местного самоуправления Алексеевского муниципального района</v>
      </c>
      <c r="B126" s="48" t="str">
        <f>'Приложение 3'!C132</f>
        <v>0412</v>
      </c>
      <c r="C126" s="48" t="str">
        <f>'Приложение 3'!D132</f>
        <v>99</v>
      </c>
      <c r="D126" s="48">
        <f>'Приложение 3'!E132</f>
        <v>0</v>
      </c>
      <c r="E126" s="48"/>
      <c r="F126" s="47">
        <f>'Приложение 3'!G132</f>
        <v>0</v>
      </c>
      <c r="G126" s="47">
        <f>'Приложение 3'!H132</f>
        <v>2630</v>
      </c>
      <c r="H126" s="47">
        <f>'Приложение 3'!I132</f>
        <v>34.5699</v>
      </c>
      <c r="I126" s="121">
        <f t="shared" si="2"/>
        <v>1.314444866920152</v>
      </c>
    </row>
    <row r="127" spans="1:9" ht="28.5" customHeight="1" outlineLevel="3">
      <c r="A127" s="53" t="str">
        <f>'Приложение 3'!A133</f>
        <v>Закупка товаров, работ и услуг для государственных (муниципальных) нужд</v>
      </c>
      <c r="B127" s="48" t="str">
        <f>'Приложение 3'!C133</f>
        <v>0412</v>
      </c>
      <c r="C127" s="48" t="str">
        <f>'Приложение 3'!D133</f>
        <v>99</v>
      </c>
      <c r="D127" s="48">
        <f>'Приложение 3'!E133</f>
        <v>0</v>
      </c>
      <c r="E127" s="48">
        <f>'Приложение 3'!F133</f>
        <v>200</v>
      </c>
      <c r="F127" s="47">
        <f>'Приложение 3'!G133</f>
        <v>0</v>
      </c>
      <c r="G127" s="47">
        <f>'Приложение 3'!H133</f>
        <v>2630</v>
      </c>
      <c r="H127" s="47">
        <f>'Приложение 3'!I133</f>
        <v>34.5699</v>
      </c>
      <c r="I127" s="121">
        <f t="shared" si="2"/>
        <v>1.314444866920152</v>
      </c>
    </row>
    <row r="128" spans="1:9" ht="15.75" outlineLevel="2">
      <c r="A128" s="53" t="str">
        <f>'Приложение 3'!A134</f>
        <v>Жилищно-коммунальное хозяйство</v>
      </c>
      <c r="B128" s="48" t="str">
        <f>'Приложение 3'!C134</f>
        <v>0500</v>
      </c>
      <c r="C128" s="48">
        <f>'Приложение 3'!D134</f>
        <v>0</v>
      </c>
      <c r="D128" s="48">
        <f>'Приложение 3'!E134</f>
        <v>0</v>
      </c>
      <c r="E128" s="48"/>
      <c r="F128" s="47">
        <f>'Приложение 3'!G134</f>
        <v>0</v>
      </c>
      <c r="G128" s="47">
        <f>'Приложение 3'!H134</f>
        <v>5590.233319999999</v>
      </c>
      <c r="H128" s="47">
        <f>'Приложение 3'!I134</f>
        <v>1997.0142799999999</v>
      </c>
      <c r="I128" s="121">
        <f t="shared" si="2"/>
        <v>35.72327245904649</v>
      </c>
    </row>
    <row r="129" spans="1:9" ht="15.75" outlineLevel="2">
      <c r="A129" s="53" t="str">
        <f>'Приложение 3'!A135</f>
        <v>Жилищное хозяйство</v>
      </c>
      <c r="B129" s="48" t="str">
        <f>'Приложение 3'!C135</f>
        <v>0501</v>
      </c>
      <c r="C129" s="48">
        <f>'Приложение 3'!D135</f>
        <v>0</v>
      </c>
      <c r="D129" s="48">
        <f>'Приложение 3'!E135</f>
        <v>0</v>
      </c>
      <c r="E129" s="48"/>
      <c r="F129" s="47">
        <f>'Приложение 3'!G135</f>
        <v>-100</v>
      </c>
      <c r="G129" s="47">
        <f>'Приложение 3'!H135</f>
        <v>0</v>
      </c>
      <c r="H129" s="47">
        <f>'Приложение 3'!I135</f>
        <v>0</v>
      </c>
      <c r="I129" s="121">
        <v>0</v>
      </c>
    </row>
    <row r="130" spans="1:9" ht="51" outlineLevel="2">
      <c r="A130" s="53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30" s="48" t="str">
        <f>'Приложение 3'!C136</f>
        <v>0501</v>
      </c>
      <c r="C130" s="48" t="str">
        <f>'Приложение 3'!D136</f>
        <v>02</v>
      </c>
      <c r="D130" s="48">
        <f>'Приложение 3'!E136</f>
        <v>0</v>
      </c>
      <c r="E130" s="48"/>
      <c r="F130" s="47">
        <f>'Приложение 3'!G136</f>
        <v>-100</v>
      </c>
      <c r="G130" s="47">
        <f>'Приложение 3'!H136</f>
        <v>0</v>
      </c>
      <c r="H130" s="47">
        <f>'Приложение 3'!I136</f>
        <v>0</v>
      </c>
      <c r="I130" s="121">
        <v>0</v>
      </c>
    </row>
    <row r="131" spans="1:9" ht="51" outlineLevel="2">
      <c r="A131" s="53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1" s="48" t="str">
        <f>'Приложение 3'!C137</f>
        <v>0501</v>
      </c>
      <c r="C131" s="48" t="str">
        <f>'Приложение 3'!D137</f>
        <v>02</v>
      </c>
      <c r="D131" s="48">
        <f>'Приложение 3'!E137</f>
        <v>1</v>
      </c>
      <c r="E131" s="48"/>
      <c r="F131" s="47">
        <f>'Приложение 3'!G137</f>
        <v>-100</v>
      </c>
      <c r="G131" s="47">
        <f>'Приложение 3'!H137</f>
        <v>0</v>
      </c>
      <c r="H131" s="47">
        <f>'Приложение 3'!I137</f>
        <v>0</v>
      </c>
      <c r="I131" s="121">
        <v>0</v>
      </c>
    </row>
    <row r="132" spans="1:9" ht="15.75" outlineLevel="2">
      <c r="A132" s="53" t="str">
        <f>'Приложение 3'!A138</f>
        <v>Межбюджетные трансферты</v>
      </c>
      <c r="B132" s="48" t="str">
        <f>'Приложение 3'!C138</f>
        <v>0501</v>
      </c>
      <c r="C132" s="48" t="str">
        <f>'Приложение 3'!D138</f>
        <v>02</v>
      </c>
      <c r="D132" s="48">
        <f>'Приложение 3'!E138</f>
        <v>1</v>
      </c>
      <c r="E132" s="48">
        <f>'Приложение 3'!F138</f>
        <v>500</v>
      </c>
      <c r="F132" s="47">
        <f>'Приложение 3'!G138</f>
        <v>-100</v>
      </c>
      <c r="G132" s="47">
        <f>'Приложение 3'!H138</f>
        <v>0</v>
      </c>
      <c r="H132" s="47">
        <f>'Приложение 3'!I138</f>
        <v>0</v>
      </c>
      <c r="I132" s="121">
        <v>0</v>
      </c>
    </row>
    <row r="133" spans="1:9" ht="15.75" outlineLevel="3">
      <c r="A133" s="53" t="str">
        <f>'Приложение 3'!A139</f>
        <v>Коммунальное хозяйство</v>
      </c>
      <c r="B133" s="48" t="str">
        <f>'Приложение 3'!C139</f>
        <v>0502</v>
      </c>
      <c r="C133" s="48"/>
      <c r="D133" s="48"/>
      <c r="E133" s="48"/>
      <c r="F133" s="47">
        <f>'Приложение 3'!G139</f>
        <v>100</v>
      </c>
      <c r="G133" s="47">
        <f>'Приложение 3'!H139</f>
        <v>5590.233319999999</v>
      </c>
      <c r="H133" s="47">
        <f>'Приложение 3'!I139</f>
        <v>1997.0142799999999</v>
      </c>
      <c r="I133" s="121">
        <f t="shared" si="2"/>
        <v>35.72327245904649</v>
      </c>
    </row>
    <row r="134" spans="1:9" ht="42" customHeight="1" outlineLevel="3">
      <c r="A134" s="53" t="str">
        <f>'Приложение 3'!A140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34" s="48" t="str">
        <f>'Приложение 3'!C140</f>
        <v>0502</v>
      </c>
      <c r="C134" s="48" t="str">
        <f>'Приложение 3'!D140</f>
        <v>02</v>
      </c>
      <c r="D134" s="48">
        <f>'Приложение 3'!E140</f>
        <v>0</v>
      </c>
      <c r="E134" s="48"/>
      <c r="F134" s="47">
        <f>'Приложение 3'!G140</f>
        <v>100</v>
      </c>
      <c r="G134" s="47">
        <f>'Приложение 3'!H140</f>
        <v>5590.233319999999</v>
      </c>
      <c r="H134" s="47">
        <f>'Приложение 3'!I140</f>
        <v>1997.0142799999999</v>
      </c>
      <c r="I134" s="121">
        <f t="shared" si="2"/>
        <v>35.72327245904649</v>
      </c>
    </row>
    <row r="135" spans="1:9" ht="51" outlineLevel="3">
      <c r="A135" s="53" t="str">
        <f>'Приложение 3'!A141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48" t="str">
        <f>'Приложение 3'!C141</f>
        <v>0502</v>
      </c>
      <c r="C135" s="48" t="str">
        <f>'Приложение 3'!D141</f>
        <v>02</v>
      </c>
      <c r="D135" s="48">
        <f>'Приложение 3'!E141</f>
        <v>1</v>
      </c>
      <c r="E135" s="48"/>
      <c r="F135" s="47">
        <f>'Приложение 3'!G141</f>
        <v>99.75</v>
      </c>
      <c r="G135" s="47">
        <f>'Приложение 3'!H141</f>
        <v>5179.75</v>
      </c>
      <c r="H135" s="47">
        <f>'Приложение 3'!I141</f>
        <v>1748.0808</v>
      </c>
      <c r="I135" s="121">
        <f t="shared" si="2"/>
        <v>33.748362372701386</v>
      </c>
    </row>
    <row r="136" spans="1:9" ht="25.5" outlineLevel="3">
      <c r="A136" s="53" t="str">
        <f>'Приложение 3'!A142</f>
        <v>Закупка товаров, работ и услуг для государственных (муниципальных) нужд</v>
      </c>
      <c r="B136" s="48" t="str">
        <f>'Приложение 3'!C142</f>
        <v>0502</v>
      </c>
      <c r="C136" s="48" t="str">
        <f>'Приложение 3'!D142</f>
        <v>02</v>
      </c>
      <c r="D136" s="48">
        <f>'Приложение 3'!E142</f>
        <v>1</v>
      </c>
      <c r="E136" s="48">
        <f>'Приложение 3'!F142</f>
        <v>200</v>
      </c>
      <c r="F136" s="47">
        <f>'Приложение 3'!G142</f>
        <v>-0.25</v>
      </c>
      <c r="G136" s="47">
        <f>'Приложение 3'!H142</f>
        <v>409.75</v>
      </c>
      <c r="H136" s="47">
        <f>'Приложение 3'!I142</f>
        <v>158.0808</v>
      </c>
      <c r="I136" s="121">
        <f t="shared" si="2"/>
        <v>38.57981696156193</v>
      </c>
    </row>
    <row r="137" spans="1:9" ht="15.75" outlineLevel="3">
      <c r="A137" s="53" t="str">
        <f>'Приложение 3'!A143</f>
        <v>Межбюджетные трансферты</v>
      </c>
      <c r="B137" s="48" t="str">
        <f>'Приложение 3'!C143</f>
        <v>0502</v>
      </c>
      <c r="C137" s="48" t="str">
        <f>'Приложение 3'!D143</f>
        <v>02</v>
      </c>
      <c r="D137" s="48">
        <f>'Приложение 3'!E143</f>
        <v>1</v>
      </c>
      <c r="E137" s="48">
        <f>'Приложение 3'!F143</f>
        <v>500</v>
      </c>
      <c r="F137" s="47">
        <f>'Приложение 3'!G143</f>
        <v>100</v>
      </c>
      <c r="G137" s="47">
        <f>'Приложение 3'!H143</f>
        <v>4770</v>
      </c>
      <c r="H137" s="47">
        <f>'Приложение 3'!I143</f>
        <v>1590</v>
      </c>
      <c r="I137" s="121">
        <f aca="true" t="shared" si="3" ref="I137:I195">SUM(H137/G137)*100</f>
        <v>33.33333333333333</v>
      </c>
    </row>
    <row r="138" spans="1:9" ht="25.5" outlineLevel="3">
      <c r="A138" s="53" t="str">
        <f>'Приложение 3'!A144</f>
        <v>Подпрограмма «Газификация Алексеевского муниципального района»</v>
      </c>
      <c r="B138" s="48" t="str">
        <f>'Приложение 3'!C144</f>
        <v>0502</v>
      </c>
      <c r="C138" s="48" t="str">
        <f>'Приложение 3'!D144</f>
        <v>02</v>
      </c>
      <c r="D138" s="48">
        <f>'Приложение 3'!E144</f>
        <v>2</v>
      </c>
      <c r="E138" s="48"/>
      <c r="F138" s="47">
        <f>'Приложение 3'!G144</f>
        <v>0.25</v>
      </c>
      <c r="G138" s="47">
        <f>'Приложение 3'!H144</f>
        <v>248.95</v>
      </c>
      <c r="H138" s="47">
        <f>'Приложение 3'!I144</f>
        <v>248.93348</v>
      </c>
      <c r="I138" s="121">
        <f t="shared" si="3"/>
        <v>99.99336412934325</v>
      </c>
    </row>
    <row r="139" spans="1:9" ht="31.5" customHeight="1" outlineLevel="3">
      <c r="A139" s="53" t="str">
        <f>'Приложение 3'!A145</f>
        <v>Мероприятия по развитию газификации в сельской местности за счет субсидий из областного бюджета</v>
      </c>
      <c r="B139" s="48" t="str">
        <f>'Приложение 3'!C145</f>
        <v>0502</v>
      </c>
      <c r="C139" s="48" t="str">
        <f>'Приложение 3'!D145</f>
        <v>02</v>
      </c>
      <c r="D139" s="48">
        <f>'Приложение 3'!E145</f>
        <v>2</v>
      </c>
      <c r="E139" s="48">
        <f>'Приложение 3'!F145</f>
        <v>400</v>
      </c>
      <c r="F139" s="47">
        <f>'Приложение 3'!G145</f>
        <v>0</v>
      </c>
      <c r="G139" s="47">
        <f>'Приложение 3'!H145</f>
        <v>248.7</v>
      </c>
      <c r="H139" s="47">
        <f>'Приложение 3'!I145</f>
        <v>248.68348</v>
      </c>
      <c r="I139" s="121">
        <f t="shared" si="3"/>
        <v>99.9933574587857</v>
      </c>
    </row>
    <row r="140" spans="1:9" ht="31.5" customHeight="1" outlineLevel="3">
      <c r="A140" s="53" t="str">
        <f>'Приложение 3'!A147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0" s="48" t="str">
        <f>'Приложение 3'!C147</f>
        <v>0502</v>
      </c>
      <c r="C140" s="48" t="str">
        <f>'Приложение 3'!D147</f>
        <v>02</v>
      </c>
      <c r="D140" s="48">
        <f>'Приложение 3'!E147</f>
        <v>3</v>
      </c>
      <c r="E140" s="48"/>
      <c r="F140" s="47">
        <f>'Приложение 3'!G147</f>
        <v>0</v>
      </c>
      <c r="G140" s="47">
        <f>'Приложение 3'!H147</f>
        <v>161.53332</v>
      </c>
      <c r="H140" s="47">
        <f>'Приложение 3'!I147</f>
        <v>0</v>
      </c>
      <c r="I140" s="121">
        <f t="shared" si="3"/>
        <v>0</v>
      </c>
    </row>
    <row r="141" spans="1:9" ht="31.5" customHeight="1" outlineLevel="3">
      <c r="A141" s="53" t="str">
        <f>'Приложение 3'!A148</f>
        <v>Закупка товаров, работ и услуг в целях ремонта объектов муниципальной собственности</v>
      </c>
      <c r="B141" s="48" t="str">
        <f>'Приложение 3'!C148</f>
        <v>0502</v>
      </c>
      <c r="C141" s="48" t="str">
        <f>'Приложение 3'!D148</f>
        <v>02</v>
      </c>
      <c r="D141" s="48">
        <f>'Приложение 3'!E148</f>
        <v>3</v>
      </c>
      <c r="E141" s="48">
        <f>'Приложение 3'!F148</f>
        <v>200</v>
      </c>
      <c r="F141" s="47">
        <f>'Приложение 3'!G148</f>
        <v>0</v>
      </c>
      <c r="G141" s="47">
        <f>'Приложение 3'!H148</f>
        <v>161.53332</v>
      </c>
      <c r="H141" s="47">
        <f>'Приложение 3'!I148</f>
        <v>0</v>
      </c>
      <c r="I141" s="121">
        <f t="shared" si="3"/>
        <v>0</v>
      </c>
    </row>
    <row r="142" spans="1:9" ht="38.25" outlineLevel="3">
      <c r="A142" s="53" t="str">
        <f>'Приложение 3'!A149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142" s="48" t="str">
        <f>'Приложение 3'!C149</f>
        <v>0502</v>
      </c>
      <c r="C142" s="48" t="str">
        <f>'Приложение 3'!D149</f>
        <v>24</v>
      </c>
      <c r="D142" s="48">
        <f>'Приложение 3'!E149</f>
        <v>0</v>
      </c>
      <c r="E142" s="48"/>
      <c r="F142" s="47">
        <f>'Приложение 3'!G149</f>
        <v>0</v>
      </c>
      <c r="G142" s="47">
        <f>'Приложение 3'!H149</f>
        <v>0</v>
      </c>
      <c r="H142" s="47">
        <f>'Приложение 3'!I149</f>
        <v>0</v>
      </c>
      <c r="I142" s="121">
        <v>0</v>
      </c>
    </row>
    <row r="143" spans="1:9" ht="25.5" outlineLevel="3">
      <c r="A143" s="53" t="str">
        <f>'Приложение 3'!A150</f>
        <v>Капитальные вложения в объекты государственной (муниципальной) собственности</v>
      </c>
      <c r="B143" s="48" t="str">
        <f>'Приложение 3'!C150</f>
        <v>0502</v>
      </c>
      <c r="C143" s="48" t="str">
        <f>'Приложение 3'!D150</f>
        <v>24</v>
      </c>
      <c r="D143" s="48">
        <f>'Приложение 3'!E150</f>
        <v>0</v>
      </c>
      <c r="E143" s="48">
        <f>'Приложение 3'!F150</f>
        <v>400</v>
      </c>
      <c r="F143" s="47">
        <f>'Приложение 3'!G150</f>
        <v>0</v>
      </c>
      <c r="G143" s="47">
        <f>'Приложение 3'!H150</f>
        <v>0</v>
      </c>
      <c r="H143" s="47">
        <f>'Приложение 3'!I150</f>
        <v>0</v>
      </c>
      <c r="I143" s="121">
        <v>0</v>
      </c>
    </row>
    <row r="144" spans="1:9" ht="63.75" outlineLevel="1">
      <c r="A144" s="53" t="str">
        <f>'Приложение 3'!A151</f>
        <v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v>
      </c>
      <c r="B144" s="48" t="str">
        <f>'Приложение 3'!C151</f>
        <v>0502</v>
      </c>
      <c r="C144" s="48"/>
      <c r="D144" s="48"/>
      <c r="E144" s="48"/>
      <c r="F144" s="47">
        <f>'Приложение 3'!G151</f>
        <v>0</v>
      </c>
      <c r="G144" s="47">
        <f>'Приложение 3'!H151</f>
        <v>0</v>
      </c>
      <c r="H144" s="47">
        <f>'Приложение 3'!I151</f>
        <v>0</v>
      </c>
      <c r="I144" s="121">
        <v>0</v>
      </c>
    </row>
    <row r="145" spans="1:9" ht="29.25" customHeight="1" outlineLevel="1">
      <c r="A145" s="53" t="str">
        <f>'Приложение 3'!A152</f>
        <v>Непрограммные расходы органов местного самоуправления Алексеевского муниципального района</v>
      </c>
      <c r="B145" s="48" t="str">
        <f>'Приложение 3'!C152</f>
        <v>0502</v>
      </c>
      <c r="C145" s="48" t="str">
        <f>'Приложение 3'!D152</f>
        <v>99</v>
      </c>
      <c r="D145" s="48">
        <f>'Приложение 3'!E152</f>
        <v>0</v>
      </c>
      <c r="E145" s="48"/>
      <c r="F145" s="47">
        <f>'Приложение 3'!G152</f>
        <v>0</v>
      </c>
      <c r="G145" s="47">
        <f>'Приложение 3'!H152</f>
        <v>0</v>
      </c>
      <c r="H145" s="47">
        <f>'Приложение 3'!I152</f>
        <v>0</v>
      </c>
      <c r="I145" s="121">
        <v>0</v>
      </c>
    </row>
    <row r="146" spans="1:9" ht="18.75" customHeight="1" outlineLevel="1">
      <c r="A146" s="53" t="str">
        <f>'Приложение 3'!A153</f>
        <v>Иные бюджетные ассигнования</v>
      </c>
      <c r="B146" s="48" t="str">
        <f>'Приложение 3'!C153</f>
        <v>0502</v>
      </c>
      <c r="C146" s="48" t="str">
        <f>'Приложение 3'!D153</f>
        <v>99</v>
      </c>
      <c r="D146" s="48">
        <f>'Приложение 3'!E153</f>
        <v>0</v>
      </c>
      <c r="E146" s="48">
        <f>'Приложение 3'!F153</f>
        <v>800</v>
      </c>
      <c r="F146" s="47">
        <f>'Приложение 3'!G153</f>
        <v>0</v>
      </c>
      <c r="G146" s="47">
        <f>'Приложение 3'!H153</f>
        <v>0</v>
      </c>
      <c r="H146" s="47">
        <f>'Приложение 3'!I153</f>
        <v>0</v>
      </c>
      <c r="I146" s="121">
        <v>0</v>
      </c>
    </row>
    <row r="147" spans="1:9" ht="15.75" outlineLevel="2">
      <c r="A147" s="53" t="str">
        <f>'Приложение 3'!A154</f>
        <v>Охрана окружающей среды</v>
      </c>
      <c r="B147" s="48" t="str">
        <f>'Приложение 3'!C154</f>
        <v>0600</v>
      </c>
      <c r="C147" s="48">
        <f>'Приложение 3'!D154</f>
        <v>0</v>
      </c>
      <c r="D147" s="48">
        <f>'Приложение 3'!E154</f>
        <v>0</v>
      </c>
      <c r="E147" s="48"/>
      <c r="F147" s="47">
        <f>'Приложение 3'!G154</f>
        <v>0</v>
      </c>
      <c r="G147" s="47">
        <f>'Приложение 3'!H154</f>
        <v>50</v>
      </c>
      <c r="H147" s="47">
        <f>'Приложение 3'!I154</f>
        <v>0</v>
      </c>
      <c r="I147" s="121">
        <f t="shared" si="3"/>
        <v>0</v>
      </c>
    </row>
    <row r="148" spans="1:9" ht="38.25" outlineLevel="5">
      <c r="A148" s="53" t="str">
        <f>'Приложение 3'!A155</f>
        <v>Муниципальная программа  «Охрана окружающей среды Алексеевского муниципального района на 2016-2018 годы»</v>
      </c>
      <c r="B148" s="48" t="str">
        <f>'Приложение 3'!C155</f>
        <v>0605</v>
      </c>
      <c r="C148" s="48" t="str">
        <f>'Приложение 3'!D155</f>
        <v>05</v>
      </c>
      <c r="D148" s="48">
        <f>'Приложение 3'!E155</f>
        <v>0</v>
      </c>
      <c r="E148" s="48"/>
      <c r="F148" s="47">
        <f>'Приложение 3'!G155</f>
        <v>0</v>
      </c>
      <c r="G148" s="47">
        <f>'Приложение 3'!H155</f>
        <v>50</v>
      </c>
      <c r="H148" s="47">
        <f>'Приложение 3'!I155</f>
        <v>0</v>
      </c>
      <c r="I148" s="121">
        <f t="shared" si="3"/>
        <v>0</v>
      </c>
    </row>
    <row r="149" spans="1:9" ht="25.5" outlineLevel="5">
      <c r="A149" s="53" t="str">
        <f>'Приложение 3'!A156</f>
        <v>Закупка товаров, работ и услуг для государственных (муниципальных) нужд</v>
      </c>
      <c r="B149" s="48" t="str">
        <f>'Приложение 3'!C156</f>
        <v>0605</v>
      </c>
      <c r="C149" s="48" t="str">
        <f>'Приложение 3'!D156</f>
        <v>05</v>
      </c>
      <c r="D149" s="48">
        <f>'Приложение 3'!E156</f>
        <v>0</v>
      </c>
      <c r="E149" s="48">
        <f>'Приложение 3'!F156</f>
        <v>200</v>
      </c>
      <c r="F149" s="47">
        <f>'Приложение 3'!G156</f>
        <v>0</v>
      </c>
      <c r="G149" s="47">
        <f>'Приложение 3'!H156</f>
        <v>50</v>
      </c>
      <c r="H149" s="47">
        <f>'Приложение 3'!I156</f>
        <v>0</v>
      </c>
      <c r="I149" s="121">
        <f t="shared" si="3"/>
        <v>0</v>
      </c>
    </row>
    <row r="150" spans="1:9" ht="15.75" outlineLevel="5">
      <c r="A150" s="53" t="str">
        <f>'Приложение 3'!A157</f>
        <v>Образование</v>
      </c>
      <c r="B150" s="48" t="str">
        <f>'Приложение 3'!C157</f>
        <v>0700</v>
      </c>
      <c r="C150" s="48"/>
      <c r="D150" s="48"/>
      <c r="E150" s="48"/>
      <c r="F150" s="47">
        <f>'Приложение 3'!G157</f>
        <v>4277.8730000000005</v>
      </c>
      <c r="G150" s="47">
        <f>'Приложение 3'!H157</f>
        <v>160893.272</v>
      </c>
      <c r="H150" s="47">
        <f>'Приложение 3'!I157</f>
        <v>93075.89220000002</v>
      </c>
      <c r="I150" s="121">
        <f t="shared" si="3"/>
        <v>57.84946197128741</v>
      </c>
    </row>
    <row r="151" spans="1:9" ht="15.75" outlineLevel="2">
      <c r="A151" s="53" t="str">
        <f>'Приложение 3'!A158</f>
        <v>Дошкольное образование</v>
      </c>
      <c r="B151" s="48" t="str">
        <f>'Приложение 3'!C158</f>
        <v>0701</v>
      </c>
      <c r="C151" s="48"/>
      <c r="D151" s="48"/>
      <c r="E151" s="48"/>
      <c r="F151" s="47">
        <f>'Приложение 3'!G158</f>
        <v>1387.564</v>
      </c>
      <c r="G151" s="47">
        <f>'Приложение 3'!H158</f>
        <v>26838.063999999995</v>
      </c>
      <c r="H151" s="47">
        <f>'Приложение 3'!I158</f>
        <v>14766.145910000001</v>
      </c>
      <c r="I151" s="121">
        <f t="shared" si="3"/>
        <v>55.01941537213714</v>
      </c>
    </row>
    <row r="152" spans="1:9" ht="43.5" customHeight="1" outlineLevel="2">
      <c r="A152" s="53" t="str">
        <f>'Приложение 3'!A159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52" s="48" t="str">
        <f>'Приложение 3'!C159</f>
        <v>0701</v>
      </c>
      <c r="C152" s="48" t="str">
        <f>'Приложение 3'!D159</f>
        <v>02</v>
      </c>
      <c r="D152" s="48">
        <f>'Приложение 3'!E159</f>
        <v>0</v>
      </c>
      <c r="E152" s="48"/>
      <c r="F152" s="47">
        <f>'Приложение 3'!G159</f>
        <v>929.6</v>
      </c>
      <c r="G152" s="47">
        <f>'Приложение 3'!H159</f>
        <v>1369.6</v>
      </c>
      <c r="H152" s="47">
        <f>'Приложение 3'!I159</f>
        <v>154.563</v>
      </c>
      <c r="I152" s="121">
        <f t="shared" si="3"/>
        <v>11.285265771028037</v>
      </c>
    </row>
    <row r="153" spans="1:9" ht="38.25" customHeight="1" outlineLevel="2">
      <c r="A153" s="53" t="str">
        <f>'Приложение 3'!A160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3" s="48" t="str">
        <f>'Приложение 3'!C160</f>
        <v>0701</v>
      </c>
      <c r="C153" s="48" t="str">
        <f>'Приложение 3'!D160</f>
        <v>02</v>
      </c>
      <c r="D153" s="48">
        <f>'Приложение 3'!E160</f>
        <v>3</v>
      </c>
      <c r="E153" s="48"/>
      <c r="F153" s="47">
        <f>'Приложение 3'!G160</f>
        <v>929.6</v>
      </c>
      <c r="G153" s="47">
        <f>'Приложение 3'!H160</f>
        <v>929.6</v>
      </c>
      <c r="H153" s="47">
        <f>'Приложение 3'!I160</f>
        <v>0</v>
      </c>
      <c r="I153" s="121">
        <f t="shared" si="3"/>
        <v>0</v>
      </c>
    </row>
    <row r="154" spans="1:9" ht="25.5" outlineLevel="2">
      <c r="A154" s="53" t="str">
        <f>'Приложение 3'!A161</f>
        <v>Предоставление субсидий бюджетным, автономным учреждениям и иным некоммерческим организациям</v>
      </c>
      <c r="B154" s="48" t="str">
        <f>'Приложение 3'!C161</f>
        <v>0701</v>
      </c>
      <c r="C154" s="48" t="str">
        <f>'Приложение 3'!D161</f>
        <v>02</v>
      </c>
      <c r="D154" s="48">
        <f>'Приложение 3'!E161</f>
        <v>3</v>
      </c>
      <c r="E154" s="48">
        <f>'Приложение 3'!F161</f>
        <v>600</v>
      </c>
      <c r="F154" s="47">
        <f>'Приложение 3'!G161</f>
        <v>929.6</v>
      </c>
      <c r="G154" s="47">
        <f>'Приложение 3'!H161</f>
        <v>929.6</v>
      </c>
      <c r="H154" s="47">
        <f>'Приложение 3'!I161</f>
        <v>0</v>
      </c>
      <c r="I154" s="121">
        <f t="shared" si="3"/>
        <v>0</v>
      </c>
    </row>
    <row r="155" spans="1:9" ht="38.25" customHeight="1" outlineLevel="2">
      <c r="A155" s="53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55" s="48" t="str">
        <f>'Приложение 3'!C162</f>
        <v>0701</v>
      </c>
      <c r="C155" s="48" t="str">
        <f>'Приложение 3'!D162</f>
        <v>02</v>
      </c>
      <c r="D155" s="48">
        <f>'Приложение 3'!E162</f>
        <v>4</v>
      </c>
      <c r="E155" s="48"/>
      <c r="F155" s="47">
        <f>'Приложение 3'!G162</f>
        <v>0</v>
      </c>
      <c r="G155" s="47">
        <f>'Приложение 3'!H162</f>
        <v>440</v>
      </c>
      <c r="H155" s="47">
        <f>'Приложение 3'!I162</f>
        <v>154.563</v>
      </c>
      <c r="I155" s="121">
        <f t="shared" si="3"/>
        <v>35.12795454545454</v>
      </c>
    </row>
    <row r="156" spans="1:9" ht="25.5" outlineLevel="2">
      <c r="A156" s="53" t="str">
        <f>'Приложение 3'!A163</f>
        <v>Предоставление субсидий бюджетным, автономным учреждениям и иным некоммерческим организациям</v>
      </c>
      <c r="B156" s="48" t="str">
        <f>'Приложение 3'!C163</f>
        <v>0701</v>
      </c>
      <c r="C156" s="48" t="str">
        <f>'Приложение 3'!D163</f>
        <v>02</v>
      </c>
      <c r="D156" s="48">
        <f>'Приложение 3'!E163</f>
        <v>4</v>
      </c>
      <c r="E156" s="48">
        <f>'Приложение 3'!F163</f>
        <v>600</v>
      </c>
      <c r="F156" s="47">
        <f>'Приложение 3'!G163</f>
        <v>0</v>
      </c>
      <c r="G156" s="47">
        <f>'Приложение 3'!H163</f>
        <v>440</v>
      </c>
      <c r="H156" s="47">
        <f>'Приложение 3'!I163</f>
        <v>154.563</v>
      </c>
      <c r="I156" s="121">
        <f t="shared" si="3"/>
        <v>35.12795454545454</v>
      </c>
    </row>
    <row r="157" spans="1:9" ht="114.75" outlineLevel="2">
      <c r="A157" s="53" t="str">
        <f>'Приложение 3'!A164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57" s="48" t="str">
        <f>'Приложение 3'!C164</f>
        <v>0701</v>
      </c>
      <c r="C157" s="48" t="str">
        <f>'Приложение 3'!D164</f>
        <v>22</v>
      </c>
      <c r="D157" s="48">
        <f>'Приложение 3'!E164</f>
        <v>0</v>
      </c>
      <c r="E157" s="48"/>
      <c r="F157" s="47">
        <f>'Приложение 3'!G164</f>
        <v>48.664</v>
      </c>
      <c r="G157" s="47">
        <f>'Приложение 3'!H164</f>
        <v>48.664</v>
      </c>
      <c r="H157" s="47">
        <f>'Приложение 3'!I164</f>
        <v>0</v>
      </c>
      <c r="I157" s="121">
        <f t="shared" si="3"/>
        <v>0</v>
      </c>
    </row>
    <row r="158" spans="1:9" ht="25.5" outlineLevel="2">
      <c r="A158" s="53" t="str">
        <f>'Приложение 3'!A165</f>
        <v>Предоставление субсидий бюджетным, автономным учреждениям и иным некоммерческим организациям</v>
      </c>
      <c r="B158" s="48" t="str">
        <f>'Приложение 3'!C165</f>
        <v>0701</v>
      </c>
      <c r="C158" s="48" t="str">
        <f>'Приложение 3'!D165</f>
        <v>22</v>
      </c>
      <c r="D158" s="48">
        <f>'Приложение 3'!E165</f>
        <v>0</v>
      </c>
      <c r="E158" s="48">
        <f>'Приложение 3'!F165</f>
        <v>600</v>
      </c>
      <c r="F158" s="47">
        <f>'Приложение 3'!G165</f>
        <v>48.664</v>
      </c>
      <c r="G158" s="47">
        <f>'Приложение 3'!H165</f>
        <v>48.664</v>
      </c>
      <c r="H158" s="47">
        <f>'Приложение 3'!I165</f>
        <v>0</v>
      </c>
      <c r="I158" s="121">
        <f t="shared" si="3"/>
        <v>0</v>
      </c>
    </row>
    <row r="159" spans="1:9" ht="51" outlineLevel="2">
      <c r="A159" s="53" t="str">
        <f>'Приложение 3'!A166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59" s="48" t="str">
        <f>'Приложение 3'!C166</f>
        <v>0701</v>
      </c>
      <c r="C159" s="48" t="str">
        <f>'Приложение 3'!D166</f>
        <v>52</v>
      </c>
      <c r="D159" s="48">
        <f>'Приложение 3'!E166</f>
        <v>0</v>
      </c>
      <c r="E159" s="48"/>
      <c r="F159" s="47">
        <f>'Приложение 3'!G166</f>
        <v>409.3</v>
      </c>
      <c r="G159" s="47">
        <f>'Приложение 3'!H166</f>
        <v>25419.799999999996</v>
      </c>
      <c r="H159" s="47">
        <f>'Приложение 3'!I166</f>
        <v>14611.582910000001</v>
      </c>
      <c r="I159" s="121">
        <f t="shared" si="3"/>
        <v>57.48110886002251</v>
      </c>
    </row>
    <row r="160" spans="1:9" ht="25.5" outlineLevel="2">
      <c r="A160" s="53" t="str">
        <f>'Приложение 3'!A167</f>
        <v>Предоставление субсидий бюджетным, автономным учреждениям и иным некоммерческим организациям</v>
      </c>
      <c r="B160" s="48" t="str">
        <f>'Приложение 3'!C167</f>
        <v>0701</v>
      </c>
      <c r="C160" s="48" t="str">
        <f>'Приложение 3'!D167</f>
        <v>52</v>
      </c>
      <c r="D160" s="48">
        <f>'Приложение 3'!E167</f>
        <v>0</v>
      </c>
      <c r="E160" s="48">
        <f>'Приложение 3'!F167</f>
        <v>600</v>
      </c>
      <c r="F160" s="47">
        <f>'Приложение 3'!G167</f>
        <v>417</v>
      </c>
      <c r="G160" s="47">
        <f>'Приложение 3'!H167</f>
        <v>10767</v>
      </c>
      <c r="H160" s="47">
        <f>'Приложение 3'!I167</f>
        <v>6415.99964</v>
      </c>
      <c r="I160" s="121">
        <f t="shared" si="3"/>
        <v>59.589483050060366</v>
      </c>
    </row>
    <row r="161" spans="1:9" ht="38.25" outlineLevel="2">
      <c r="A161" s="53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1" s="48" t="str">
        <f>'Приложение 3'!C168</f>
        <v>0701</v>
      </c>
      <c r="C161" s="48" t="str">
        <f>'Приложение 3'!D168</f>
        <v>52</v>
      </c>
      <c r="D161" s="48">
        <f>'Приложение 3'!E168</f>
        <v>0</v>
      </c>
      <c r="E161" s="48">
        <f>'Приложение 3'!F168</f>
        <v>600</v>
      </c>
      <c r="F161" s="47">
        <f>'Приложение 3'!G168</f>
        <v>-7.7</v>
      </c>
      <c r="G161" s="47">
        <f>'Приложение 3'!H168</f>
        <v>14506.199999999999</v>
      </c>
      <c r="H161" s="47">
        <f>'Приложение 3'!I168</f>
        <v>8058.03182</v>
      </c>
      <c r="I161" s="121">
        <f t="shared" si="3"/>
        <v>55.54888130592437</v>
      </c>
    </row>
    <row r="162" spans="1:9" ht="55.5" customHeight="1" outlineLevel="2">
      <c r="A162" s="53" t="str">
        <f>'Приложение 3'!A169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v>
      </c>
      <c r="B162" s="48" t="str">
        <f>'Приложение 3'!C169</f>
        <v>0701</v>
      </c>
      <c r="C162" s="48" t="str">
        <f>'Приложение 3'!D169</f>
        <v>52</v>
      </c>
      <c r="D162" s="48">
        <f>'Приложение 3'!E169</f>
        <v>0</v>
      </c>
      <c r="E162" s="48">
        <f>'Приложение 3'!F169</f>
        <v>600</v>
      </c>
      <c r="F162" s="47">
        <f>'Приложение 3'!G169</f>
        <v>0</v>
      </c>
      <c r="G162" s="47">
        <f>'Приложение 3'!H169</f>
        <v>132</v>
      </c>
      <c r="H162" s="47">
        <f>'Приложение 3'!I169</f>
        <v>132</v>
      </c>
      <c r="I162" s="121">
        <f t="shared" si="3"/>
        <v>100</v>
      </c>
    </row>
    <row r="163" spans="1:9" ht="25.5" outlineLevel="2">
      <c r="A163" s="53" t="str">
        <f>'Приложение 3'!A170</f>
        <v>За счет средств на расходы на осуществление социальных гарантий молодым специалистам</v>
      </c>
      <c r="B163" s="48" t="str">
        <f>'Приложение 3'!C170</f>
        <v>0701</v>
      </c>
      <c r="C163" s="48" t="str">
        <f>'Приложение 3'!D170</f>
        <v>52</v>
      </c>
      <c r="D163" s="48">
        <f>'Приложение 3'!E170</f>
        <v>0</v>
      </c>
      <c r="E163" s="48">
        <f>'Приложение 3'!F170</f>
        <v>600</v>
      </c>
      <c r="F163" s="47">
        <f>'Приложение 3'!G170</f>
        <v>0</v>
      </c>
      <c r="G163" s="47">
        <f>'Приложение 3'!H170</f>
        <v>14.6</v>
      </c>
      <c r="H163" s="47">
        <f>'Приложение 3'!I170</f>
        <v>5.55145</v>
      </c>
      <c r="I163" s="121">
        <f t="shared" si="3"/>
        <v>38.023630136986306</v>
      </c>
    </row>
    <row r="164" spans="1:9" ht="15.75" outlineLevel="5">
      <c r="A164" s="53" t="str">
        <f>'Приложение 3'!A171</f>
        <v>Общее образование</v>
      </c>
      <c r="B164" s="48" t="str">
        <f>'Приложение 3'!C171</f>
        <v>0702</v>
      </c>
      <c r="C164" s="48"/>
      <c r="D164" s="48"/>
      <c r="E164" s="48"/>
      <c r="F164" s="47">
        <f>'Приложение 3'!G171</f>
        <v>2516.236</v>
      </c>
      <c r="G164" s="47">
        <f>'Приложение 3'!H171</f>
        <v>127094.935</v>
      </c>
      <c r="H164" s="47">
        <f>'Приложение 3'!I171</f>
        <v>74747.65303000002</v>
      </c>
      <c r="I164" s="121">
        <f t="shared" si="3"/>
        <v>58.81245623989659</v>
      </c>
    </row>
    <row r="165" spans="1:9" ht="25.5" outlineLevel="5">
      <c r="A165" s="53" t="str">
        <f>'Приложение 3'!A172</f>
        <v>Школы-детские сады, школы начальные, неполные средние и средние</v>
      </c>
      <c r="B165" s="48" t="str">
        <f>'Приложение 3'!C172</f>
        <v>0702</v>
      </c>
      <c r="C165" s="48"/>
      <c r="D165" s="48"/>
      <c r="E165" s="48"/>
      <c r="F165" s="47">
        <f>'Приложение 3'!G172</f>
        <v>2516.236</v>
      </c>
      <c r="G165" s="47">
        <f>'Приложение 3'!H172</f>
        <v>119828.436</v>
      </c>
      <c r="H165" s="47">
        <f>'Приложение 3'!I172</f>
        <v>70123.57212000001</v>
      </c>
      <c r="I165" s="121">
        <f t="shared" si="3"/>
        <v>58.51997610984425</v>
      </c>
    </row>
    <row r="166" spans="1:9" ht="41.25" customHeight="1" outlineLevel="5">
      <c r="A166" s="53" t="str">
        <f>'Приложение 3'!A173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66" s="48" t="str">
        <f>'Приложение 3'!C173</f>
        <v>0702</v>
      </c>
      <c r="C166" s="48" t="str">
        <f>'Приложение 3'!D173</f>
        <v>02</v>
      </c>
      <c r="D166" s="48">
        <f>'Приложение 3'!E173</f>
        <v>0</v>
      </c>
      <c r="E166" s="48"/>
      <c r="F166" s="47">
        <f>'Приложение 3'!G173</f>
        <v>50</v>
      </c>
      <c r="G166" s="47">
        <f>'Приложение 3'!H173</f>
        <v>1010</v>
      </c>
      <c r="H166" s="47">
        <f>'Приложение 3'!I173</f>
        <v>324.589</v>
      </c>
      <c r="I166" s="121">
        <f t="shared" si="3"/>
        <v>32.13752475247525</v>
      </c>
    </row>
    <row r="167" spans="1:9" ht="41.25" customHeight="1" outlineLevel="5">
      <c r="A167" s="53" t="str">
        <f>'Приложение 3'!A174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7" s="48" t="str">
        <f>'Приложение 3'!C174</f>
        <v>0702</v>
      </c>
      <c r="C167" s="48" t="str">
        <f>'Приложение 3'!D174</f>
        <v>02</v>
      </c>
      <c r="D167" s="48">
        <f>'Приложение 3'!E174</f>
        <v>3</v>
      </c>
      <c r="E167" s="48"/>
      <c r="F167" s="47">
        <f>'Приложение 3'!G174</f>
        <v>50</v>
      </c>
      <c r="G167" s="47">
        <f>'Приложение 3'!H174</f>
        <v>50</v>
      </c>
      <c r="H167" s="47">
        <f>'Приложение 3'!I174</f>
        <v>0</v>
      </c>
      <c r="I167" s="121">
        <f t="shared" si="3"/>
        <v>0</v>
      </c>
    </row>
    <row r="168" spans="1:9" ht="32.25" customHeight="1" outlineLevel="5">
      <c r="A168" s="53" t="str">
        <f>'Приложение 3'!A175</f>
        <v>Предоставление субсидий бюджетным, автономным учреждениям и иным некоммерческим организациям</v>
      </c>
      <c r="B168" s="48" t="str">
        <f>'Приложение 3'!C175</f>
        <v>0702</v>
      </c>
      <c r="C168" s="48" t="str">
        <f>'Приложение 3'!D175</f>
        <v>02</v>
      </c>
      <c r="D168" s="48">
        <f>'Приложение 3'!E175</f>
        <v>3</v>
      </c>
      <c r="E168" s="48">
        <f>'Приложение 3'!F175</f>
        <v>600</v>
      </c>
      <c r="F168" s="47">
        <f>'Приложение 3'!G175</f>
        <v>50</v>
      </c>
      <c r="G168" s="47">
        <f>'Приложение 3'!H175</f>
        <v>50</v>
      </c>
      <c r="H168" s="47">
        <f>'Приложение 3'!I175</f>
        <v>0</v>
      </c>
      <c r="I168" s="121">
        <f t="shared" si="3"/>
        <v>0</v>
      </c>
    </row>
    <row r="169" spans="1:9" ht="43.5" customHeight="1" outlineLevel="5">
      <c r="A169" s="53" t="str">
        <f>'Приложение 3'!A176</f>
        <v>Подпрограмма "Энергосбережение и повышение энергетической эффективности Алексеевского муниципального района"</v>
      </c>
      <c r="B169" s="48" t="str">
        <f>'Приложение 3'!C176</f>
        <v>0702</v>
      </c>
      <c r="C169" s="48" t="str">
        <f>'Приложение 3'!D176</f>
        <v>02</v>
      </c>
      <c r="D169" s="48">
        <f>'Приложение 3'!E176</f>
        <v>4</v>
      </c>
      <c r="E169" s="48"/>
      <c r="F169" s="47">
        <f>'Приложение 3'!G176</f>
        <v>0</v>
      </c>
      <c r="G169" s="47">
        <f>'Приложение 3'!H176</f>
        <v>960</v>
      </c>
      <c r="H169" s="47">
        <f>'Приложение 3'!I176</f>
        <v>324.589</v>
      </c>
      <c r="I169" s="121">
        <f t="shared" si="3"/>
        <v>33.81135416666667</v>
      </c>
    </row>
    <row r="170" spans="1:9" ht="25.5" outlineLevel="5">
      <c r="A170" s="53" t="str">
        <f>'Приложение 3'!A177</f>
        <v>Закупка товаров, работ и услуг для государственных (муниципальных) нужд</v>
      </c>
      <c r="B170" s="48" t="str">
        <f>'Приложение 3'!C177</f>
        <v>0702</v>
      </c>
      <c r="C170" s="48" t="str">
        <f>'Приложение 3'!D177</f>
        <v>02</v>
      </c>
      <c r="D170" s="48">
        <f>'Приложение 3'!E177</f>
        <v>4</v>
      </c>
      <c r="E170" s="48">
        <f>'Приложение 3'!F177</f>
        <v>200</v>
      </c>
      <c r="F170" s="47">
        <f>'Приложение 3'!G177</f>
        <v>-23</v>
      </c>
      <c r="G170" s="47">
        <f>'Приложение 3'!H177</f>
        <v>117</v>
      </c>
      <c r="H170" s="47">
        <f>'Приложение 3'!I177</f>
        <v>23.285</v>
      </c>
      <c r="I170" s="121">
        <f t="shared" si="3"/>
        <v>19.901709401709404</v>
      </c>
    </row>
    <row r="171" spans="1:9" ht="25.5" outlineLevel="5">
      <c r="A171" s="53" t="str">
        <f>'Приложение 3'!A178</f>
        <v>Предоставление субсидий бюджетным, автономным учреждениям и иным некоммерческим организациям</v>
      </c>
      <c r="B171" s="48" t="str">
        <f>'Приложение 3'!C178</f>
        <v>0702</v>
      </c>
      <c r="C171" s="48" t="str">
        <f>'Приложение 3'!D178</f>
        <v>02</v>
      </c>
      <c r="D171" s="48">
        <f>'Приложение 3'!E178</f>
        <v>4</v>
      </c>
      <c r="E171" s="48">
        <f>'Приложение 3'!F178</f>
        <v>600</v>
      </c>
      <c r="F171" s="47">
        <f>'Приложение 3'!G178</f>
        <v>23</v>
      </c>
      <c r="G171" s="47">
        <f>'Приложение 3'!H178</f>
        <v>843</v>
      </c>
      <c r="H171" s="47">
        <f>'Приложение 3'!I178</f>
        <v>301.304</v>
      </c>
      <c r="I171" s="121">
        <f t="shared" si="3"/>
        <v>35.741874258600234</v>
      </c>
    </row>
    <row r="172" spans="1:9" ht="51" outlineLevel="5">
      <c r="A172" s="53" t="str">
        <f>'Приложение 3'!A179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172" s="48" t="str">
        <f>'Приложение 3'!C179</f>
        <v>0702</v>
      </c>
      <c r="C172" s="48" t="str">
        <f>'Приложение 3'!D179</f>
        <v>16</v>
      </c>
      <c r="D172" s="48">
        <f>'Приложение 3'!E179</f>
        <v>0</v>
      </c>
      <c r="E172" s="48"/>
      <c r="F172" s="47">
        <f>'Приложение 3'!G179</f>
        <v>0</v>
      </c>
      <c r="G172" s="47">
        <f>'Приложение 3'!H179</f>
        <v>100</v>
      </c>
      <c r="H172" s="47">
        <f>'Приложение 3'!I179</f>
        <v>0</v>
      </c>
      <c r="I172" s="121">
        <f t="shared" si="3"/>
        <v>0</v>
      </c>
    </row>
    <row r="173" spans="1:9" ht="25.5" outlineLevel="5">
      <c r="A173" s="53" t="str">
        <f>'Приложение 3'!A180</f>
        <v>Предоставление субсидий бюджетным, автономным учреждениям и иным некоммерческим организациям</v>
      </c>
      <c r="B173" s="48" t="str">
        <f>'Приложение 3'!C180</f>
        <v>0702</v>
      </c>
      <c r="C173" s="48" t="str">
        <f>'Приложение 3'!D180</f>
        <v>16</v>
      </c>
      <c r="D173" s="48">
        <f>'Приложение 3'!E180</f>
        <v>0</v>
      </c>
      <c r="E173" s="48">
        <f>'Приложение 3'!F180</f>
        <v>600</v>
      </c>
      <c r="F173" s="47">
        <f>'Приложение 3'!G180</f>
        <v>0</v>
      </c>
      <c r="G173" s="47">
        <f>'Приложение 3'!H180</f>
        <v>100</v>
      </c>
      <c r="H173" s="47">
        <f>'Приложение 3'!I180</f>
        <v>0</v>
      </c>
      <c r="I173" s="121">
        <f t="shared" si="3"/>
        <v>0</v>
      </c>
    </row>
    <row r="174" spans="1:9" ht="38.25" outlineLevel="5">
      <c r="A174" s="53" t="str">
        <f>'Приложение 3'!A181</f>
        <v>Муниципальная программа "Развитие физической культуры и спорта в Алексеевском муниципальном районе на 2016-2018 годы"</v>
      </c>
      <c r="B174" s="48" t="str">
        <f>'Приложение 3'!C181</f>
        <v>0702</v>
      </c>
      <c r="C174" s="48" t="str">
        <f>'Приложение 3'!D181</f>
        <v>17</v>
      </c>
      <c r="D174" s="48">
        <f>'Приложение 3'!E181</f>
        <v>0</v>
      </c>
      <c r="E174" s="48"/>
      <c r="F174" s="47">
        <f>'Приложение 3'!G181</f>
        <v>1731.5</v>
      </c>
      <c r="G174" s="47">
        <f>'Приложение 3'!H181</f>
        <v>1731.5</v>
      </c>
      <c r="H174" s="47">
        <f>'Приложение 3'!I181</f>
        <v>0</v>
      </c>
      <c r="I174" s="121">
        <f t="shared" si="3"/>
        <v>0</v>
      </c>
    </row>
    <row r="175" spans="1:9" ht="34.5" customHeight="1" outlineLevel="5">
      <c r="A175" s="53" t="str">
        <f>'Приложение 3'!A182</f>
        <v>Предоставление субсидий бюджетным, автономным учреждениям и иным некоммерческим организациям за счет средств местного бюджета</v>
      </c>
      <c r="B175" s="48" t="str">
        <f>'Приложение 3'!C182</f>
        <v>0702</v>
      </c>
      <c r="C175" s="48" t="str">
        <f>'Приложение 3'!D182</f>
        <v>17</v>
      </c>
      <c r="D175" s="48">
        <f>'Приложение 3'!E182</f>
        <v>0</v>
      </c>
      <c r="E175" s="48">
        <f>'Приложение 3'!F182</f>
        <v>600</v>
      </c>
      <c r="F175" s="47">
        <f>'Приложение 3'!G182</f>
        <v>165</v>
      </c>
      <c r="G175" s="47">
        <f>'Приложение 3'!H182</f>
        <v>165</v>
      </c>
      <c r="H175" s="47">
        <f>'Приложение 3'!I182</f>
        <v>0</v>
      </c>
      <c r="I175" s="121">
        <f t="shared" si="3"/>
        <v>0</v>
      </c>
    </row>
    <row r="176" spans="1:9" ht="38.25" customHeight="1" outlineLevel="5">
      <c r="A176" s="53" t="str">
        <f>'Приложение 3'!A183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176" s="48" t="str">
        <f>'Приложение 3'!C183</f>
        <v>0702</v>
      </c>
      <c r="C176" s="48" t="str">
        <f>'Приложение 3'!D183</f>
        <v>17</v>
      </c>
      <c r="D176" s="48">
        <f>'Приложение 3'!E183</f>
        <v>0</v>
      </c>
      <c r="E176" s="48">
        <f>'Приложение 3'!F183</f>
        <v>600</v>
      </c>
      <c r="F176" s="47">
        <f>'Приложение 3'!G183</f>
        <v>166.7</v>
      </c>
      <c r="G176" s="47">
        <f>'Приложение 3'!H183</f>
        <v>166.7</v>
      </c>
      <c r="H176" s="47">
        <f>'Приложение 3'!I183</f>
        <v>0</v>
      </c>
      <c r="I176" s="121">
        <f t="shared" si="3"/>
        <v>0</v>
      </c>
    </row>
    <row r="177" spans="1:9" ht="40.5" customHeight="1" outlineLevel="5">
      <c r="A177" s="53" t="str">
        <f>'Приложение 3'!A184</f>
        <v>Предоставление субсидий бюджетным, автономным учреждениям и иным некоммерческим организациям за счет средств федерального бюджета</v>
      </c>
      <c r="B177" s="48" t="str">
        <f>'Приложение 3'!C184</f>
        <v>0702</v>
      </c>
      <c r="C177" s="48" t="str">
        <f>'Приложение 3'!D184</f>
        <v>17</v>
      </c>
      <c r="D177" s="48">
        <f>'Приложение 3'!E184</f>
        <v>0</v>
      </c>
      <c r="E177" s="48">
        <f>'Приложение 3'!F184</f>
        <v>600</v>
      </c>
      <c r="F177" s="47">
        <f>'Приложение 3'!G184</f>
        <v>1399.8</v>
      </c>
      <c r="G177" s="47">
        <f>'Приложение 3'!H184</f>
        <v>1399.8</v>
      </c>
      <c r="H177" s="47">
        <f>'Приложение 3'!I184</f>
        <v>0</v>
      </c>
      <c r="I177" s="121">
        <f t="shared" si="3"/>
        <v>0</v>
      </c>
    </row>
    <row r="178" spans="1:9" ht="114.75" outlineLevel="5">
      <c r="A178" s="53" t="str">
        <f>'Приложение 3'!A185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78" s="48" t="str">
        <f>'Приложение 3'!C185</f>
        <v>0702</v>
      </c>
      <c r="C178" s="48" t="str">
        <f>'Приложение 3'!D185</f>
        <v>22</v>
      </c>
      <c r="D178" s="48">
        <f>'Приложение 3'!E185</f>
        <v>0</v>
      </c>
      <c r="E178" s="48"/>
      <c r="F178" s="47">
        <f>'Приложение 3'!G185</f>
        <v>151.736</v>
      </c>
      <c r="G178" s="47">
        <f>'Приложение 3'!H185</f>
        <v>151.736</v>
      </c>
      <c r="H178" s="47">
        <f>'Приложение 3'!I185</f>
        <v>0</v>
      </c>
      <c r="I178" s="121">
        <f t="shared" si="3"/>
        <v>0</v>
      </c>
    </row>
    <row r="179" spans="1:9" ht="25.5" outlineLevel="5">
      <c r="A179" s="53" t="str">
        <f>'Приложение 3'!A186</f>
        <v>Предоставление субсидий бюджетным, автономным учреждениям и иным некоммерческим организациям</v>
      </c>
      <c r="B179" s="48" t="str">
        <f>'Приложение 3'!C186</f>
        <v>0702</v>
      </c>
      <c r="C179" s="48" t="str">
        <f>'Приложение 3'!D186</f>
        <v>22</v>
      </c>
      <c r="D179" s="48">
        <f>'Приложение 3'!E186</f>
        <v>0</v>
      </c>
      <c r="E179" s="48">
        <f>'Приложение 3'!F186</f>
        <v>600</v>
      </c>
      <c r="F179" s="47">
        <f>'Приложение 3'!G186</f>
        <v>151.736</v>
      </c>
      <c r="G179" s="47">
        <f>'Приложение 3'!H186</f>
        <v>151.736</v>
      </c>
      <c r="H179" s="47">
        <f>'Приложение 3'!I186</f>
        <v>0</v>
      </c>
      <c r="I179" s="121">
        <f t="shared" si="3"/>
        <v>0</v>
      </c>
    </row>
    <row r="180" spans="1:9" ht="38.25" outlineLevel="5">
      <c r="A180" s="53" t="str">
        <f>'Приложение 3'!A187</f>
        <v>Ведомственная целевая программа "Развитие общего образования детей на  территории  Алексеевского муниципального района на 2014-2016 годы"</v>
      </c>
      <c r="B180" s="48" t="str">
        <f>'Приложение 3'!C187</f>
        <v>0702</v>
      </c>
      <c r="C180" s="48" t="str">
        <f>'Приложение 3'!D187</f>
        <v>53</v>
      </c>
      <c r="D180" s="48">
        <f>'Приложение 3'!E187</f>
        <v>0</v>
      </c>
      <c r="E180" s="48"/>
      <c r="F180" s="47">
        <f>'Приложение 3'!G187</f>
        <v>583</v>
      </c>
      <c r="G180" s="47">
        <f>'Приложение 3'!H187</f>
        <v>116835.2</v>
      </c>
      <c r="H180" s="47">
        <f>'Приложение 3'!I187</f>
        <v>69798.98312</v>
      </c>
      <c r="I180" s="121">
        <f t="shared" si="3"/>
        <v>59.7413990989017</v>
      </c>
    </row>
    <row r="181" spans="1:9" ht="15.75" outlineLevel="5">
      <c r="A181" s="53" t="str">
        <f>'Приложение 3'!A188</f>
        <v>За счет средств бюджета муниципального района</v>
      </c>
      <c r="B181" s="48" t="str">
        <f>'Приложение 3'!C188</f>
        <v>0702</v>
      </c>
      <c r="C181" s="48" t="str">
        <f>'Приложение 3'!D188</f>
        <v>53</v>
      </c>
      <c r="D181" s="48">
        <f>'Приложение 3'!E188</f>
        <v>0</v>
      </c>
      <c r="E181" s="48"/>
      <c r="F181" s="47">
        <f>'Приложение 3'!G188</f>
        <v>583</v>
      </c>
      <c r="G181" s="47">
        <f>'Приложение 3'!H188</f>
        <v>12278.800000000001</v>
      </c>
      <c r="H181" s="47">
        <f>'Приложение 3'!I188</f>
        <v>8540.47871</v>
      </c>
      <c r="I181" s="121">
        <f t="shared" si="3"/>
        <v>69.55466910447274</v>
      </c>
    </row>
    <row r="182" spans="1:9" ht="63.75" outlineLevel="5">
      <c r="A182" s="53" t="str">
        <f>'Приложение 3'!A189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2" s="48" t="str">
        <f>'Приложение 3'!C189</f>
        <v>0702</v>
      </c>
      <c r="C182" s="48" t="str">
        <f>'Приложение 3'!D189</f>
        <v>53</v>
      </c>
      <c r="D182" s="48">
        <f>'Приложение 3'!E189</f>
        <v>0</v>
      </c>
      <c r="E182" s="48">
        <f>'Приложение 3'!F189</f>
        <v>100</v>
      </c>
      <c r="F182" s="47">
        <f>'Приложение 3'!G189</f>
        <v>293</v>
      </c>
      <c r="G182" s="47">
        <f>'Приложение 3'!H189</f>
        <v>336</v>
      </c>
      <c r="H182" s="47">
        <f>'Приложение 3'!I189</f>
        <v>150.07341</v>
      </c>
      <c r="I182" s="121">
        <f t="shared" si="3"/>
        <v>44.66470535714285</v>
      </c>
    </row>
    <row r="183" spans="1:9" ht="25.5" outlineLevel="5">
      <c r="A183" s="53" t="str">
        <f>'Приложение 3'!A190</f>
        <v>Закупка товаров, работ и услуг для государственных (муниципальных) нужд</v>
      </c>
      <c r="B183" s="48" t="str">
        <f>'Приложение 3'!C190</f>
        <v>0702</v>
      </c>
      <c r="C183" s="48" t="str">
        <f>'Приложение 3'!D190</f>
        <v>53</v>
      </c>
      <c r="D183" s="48">
        <f>'Приложение 3'!E190</f>
        <v>0</v>
      </c>
      <c r="E183" s="48">
        <f>'Приложение 3'!F190</f>
        <v>200</v>
      </c>
      <c r="F183" s="47">
        <f>'Приложение 3'!G190</f>
        <v>0</v>
      </c>
      <c r="G183" s="47">
        <f>'Приложение 3'!H190</f>
        <v>912</v>
      </c>
      <c r="H183" s="47">
        <f>'Приложение 3'!I190</f>
        <v>537.12888</v>
      </c>
      <c r="I183" s="121">
        <f t="shared" si="3"/>
        <v>58.895710526315796</v>
      </c>
    </row>
    <row r="184" spans="1:9" ht="15.75" outlineLevel="5">
      <c r="A184" s="53" t="str">
        <f>'Приложение 3'!A191</f>
        <v>Иные бюджетные ассигнования</v>
      </c>
      <c r="B184" s="48" t="str">
        <f>'Приложение 3'!C191</f>
        <v>0702</v>
      </c>
      <c r="C184" s="48" t="str">
        <f>'Приложение 3'!D191</f>
        <v>53</v>
      </c>
      <c r="D184" s="48">
        <f>'Приложение 3'!E191</f>
        <v>0</v>
      </c>
      <c r="E184" s="48">
        <f>'Приложение 3'!F191</f>
        <v>800</v>
      </c>
      <c r="F184" s="47">
        <f>'Приложение 3'!G191</f>
        <v>0</v>
      </c>
      <c r="G184" s="47">
        <f>'Приложение 3'!H191</f>
        <v>64.2</v>
      </c>
      <c r="H184" s="47">
        <f>'Приложение 3'!I191</f>
        <v>32.21745</v>
      </c>
      <c r="I184" s="121">
        <f t="shared" si="3"/>
        <v>50.182943925233644</v>
      </c>
    </row>
    <row r="185" spans="1:9" ht="25.5" outlineLevel="5">
      <c r="A185" s="53" t="str">
        <f>'Приложение 3'!A192</f>
        <v>Предоставление субсидий бюджетным, автономным учреждениям и иным некоммерческим организациям</v>
      </c>
      <c r="B185" s="48" t="str">
        <f>'Приложение 3'!C192</f>
        <v>0702</v>
      </c>
      <c r="C185" s="48" t="str">
        <f>'Приложение 3'!D192</f>
        <v>53</v>
      </c>
      <c r="D185" s="48">
        <f>'Приложение 3'!E192</f>
        <v>0</v>
      </c>
      <c r="E185" s="48">
        <f>'Приложение 3'!F192</f>
        <v>600</v>
      </c>
      <c r="F185" s="47">
        <f>'Приложение 3'!G192</f>
        <v>290</v>
      </c>
      <c r="G185" s="47">
        <f>'Приложение 3'!H192</f>
        <v>10966.6</v>
      </c>
      <c r="H185" s="47">
        <f>'Приложение 3'!I192</f>
        <v>7821.05897</v>
      </c>
      <c r="I185" s="121">
        <f t="shared" si="3"/>
        <v>71.31708068134152</v>
      </c>
    </row>
    <row r="186" spans="1:9" ht="15.75" outlineLevel="5">
      <c r="A186" s="53" t="str">
        <f>'Приложение 3'!A193</f>
        <v>За счет средств областного бюджета </v>
      </c>
      <c r="B186" s="48" t="str">
        <f>'Приложение 3'!C193</f>
        <v>0702</v>
      </c>
      <c r="C186" s="48" t="str">
        <f>'Приложение 3'!D193</f>
        <v>53</v>
      </c>
      <c r="D186" s="48">
        <f>'Приложение 3'!E193</f>
        <v>0</v>
      </c>
      <c r="E186" s="48"/>
      <c r="F186" s="47">
        <f>'Приложение 3'!G193</f>
        <v>0</v>
      </c>
      <c r="G186" s="47">
        <f>'Приложение 3'!H193</f>
        <v>104556.4</v>
      </c>
      <c r="H186" s="47">
        <f>'Приложение 3'!I193</f>
        <v>61258.50441</v>
      </c>
      <c r="I186" s="121">
        <f t="shared" si="3"/>
        <v>58.58895716570196</v>
      </c>
    </row>
    <row r="187" spans="1:9" ht="63.75" outlineLevel="5">
      <c r="A187" s="53" t="str">
        <f>'Приложение 3'!A194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48" t="str">
        <f>'Приложение 3'!C194</f>
        <v>0702</v>
      </c>
      <c r="C187" s="48" t="str">
        <f>'Приложение 3'!D194</f>
        <v>53</v>
      </c>
      <c r="D187" s="48">
        <f>'Приложение 3'!E194</f>
        <v>0</v>
      </c>
      <c r="E187" s="48">
        <f>'Приложение 3'!F194</f>
        <v>100</v>
      </c>
      <c r="F187" s="47">
        <f>'Приложение 3'!G194</f>
        <v>0</v>
      </c>
      <c r="G187" s="47">
        <f>'Приложение 3'!H194</f>
        <v>5067.01567</v>
      </c>
      <c r="H187" s="47">
        <f>'Приложение 3'!I194</f>
        <v>2795.96843</v>
      </c>
      <c r="I187" s="121">
        <f t="shared" si="3"/>
        <v>55.17978652708607</v>
      </c>
    </row>
    <row r="188" spans="1:9" ht="52.5" customHeight="1" outlineLevel="5">
      <c r="A188" s="53" t="str">
        <f>'Приложение 3'!A195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01.01.2016 г. за счет средств областного бюджета </v>
      </c>
      <c r="B188" s="48" t="str">
        <f>'Приложение 3'!C195</f>
        <v>0702</v>
      </c>
      <c r="C188" s="48" t="str">
        <f>'Приложение 3'!D195</f>
        <v>53</v>
      </c>
      <c r="D188" s="48">
        <f>'Приложение 3'!E195</f>
        <v>0</v>
      </c>
      <c r="E188" s="48">
        <f>'Приложение 3'!F195</f>
        <v>100</v>
      </c>
      <c r="F188" s="47">
        <f>'Приложение 3'!G195</f>
        <v>0</v>
      </c>
      <c r="G188" s="47">
        <f>'Приложение 3'!H195</f>
        <v>280.78433</v>
      </c>
      <c r="H188" s="47">
        <f>'Приложение 3'!I195</f>
        <v>280.78433</v>
      </c>
      <c r="I188" s="121">
        <f t="shared" si="3"/>
        <v>100</v>
      </c>
    </row>
    <row r="189" spans="1:9" ht="25.5" outlineLevel="5">
      <c r="A189" s="53" t="str">
        <f>'Приложение 3'!A196</f>
        <v>Закупка товаров, работ и услуг для государственных (муниципальных) нужд</v>
      </c>
      <c r="B189" s="48" t="str">
        <f>'Приложение 3'!C196</f>
        <v>0702</v>
      </c>
      <c r="C189" s="48" t="str">
        <f>'Приложение 3'!D196</f>
        <v>53</v>
      </c>
      <c r="D189" s="48">
        <f>'Приложение 3'!E196</f>
        <v>0</v>
      </c>
      <c r="E189" s="48">
        <f>'Приложение 3'!F196</f>
        <v>200</v>
      </c>
      <c r="F189" s="47">
        <f>'Приложение 3'!G196</f>
        <v>0</v>
      </c>
      <c r="G189" s="47">
        <f>'Приложение 3'!H196</f>
        <v>186</v>
      </c>
      <c r="H189" s="47">
        <f>'Приложение 3'!I196</f>
        <v>108.44</v>
      </c>
      <c r="I189" s="121">
        <f t="shared" si="3"/>
        <v>58.3010752688172</v>
      </c>
    </row>
    <row r="190" spans="1:9" ht="15.75" outlineLevel="5">
      <c r="A190" s="53" t="str">
        <f>'Приложение 3'!A197</f>
        <v>За счет средств областного бюджета на питание</v>
      </c>
      <c r="B190" s="48" t="str">
        <f>'Приложение 3'!C197</f>
        <v>0702</v>
      </c>
      <c r="C190" s="48" t="str">
        <f>'Приложение 3'!D197</f>
        <v>53</v>
      </c>
      <c r="D190" s="48">
        <f>'Приложение 3'!E197</f>
        <v>0</v>
      </c>
      <c r="E190" s="48">
        <f>'Приложение 3'!F197</f>
        <v>200</v>
      </c>
      <c r="F190" s="47">
        <f>'Приложение 3'!G197</f>
        <v>0</v>
      </c>
      <c r="G190" s="47">
        <f>'Приложение 3'!H197</f>
        <v>50.3</v>
      </c>
      <c r="H190" s="47">
        <f>'Приложение 3'!I197</f>
        <v>48.01228</v>
      </c>
      <c r="I190" s="121">
        <f t="shared" si="3"/>
        <v>95.45184890656063</v>
      </c>
    </row>
    <row r="191" spans="1:9" ht="25.5" outlineLevel="5">
      <c r="A191" s="53" t="str">
        <f>'Приложение 3'!A198</f>
        <v>За счет средств областного бюджета на образовательный процесс</v>
      </c>
      <c r="B191" s="48" t="str">
        <f>'Приложение 3'!C198</f>
        <v>0702</v>
      </c>
      <c r="C191" s="48" t="str">
        <f>'Приложение 3'!D198</f>
        <v>53</v>
      </c>
      <c r="D191" s="48">
        <f>'Приложение 3'!E198</f>
        <v>0</v>
      </c>
      <c r="E191" s="48">
        <f>'Приложение 3'!F198</f>
        <v>600</v>
      </c>
      <c r="F191" s="47">
        <f>'Приложение 3'!G198</f>
        <v>0</v>
      </c>
      <c r="G191" s="47">
        <f>'Приложение 3'!H198</f>
        <v>94913.03433</v>
      </c>
      <c r="H191" s="47">
        <f>'Приложение 3'!I198</f>
        <v>54592.22087</v>
      </c>
      <c r="I191" s="121">
        <f t="shared" si="3"/>
        <v>57.51814938313963</v>
      </c>
    </row>
    <row r="192" spans="1:9" ht="51" outlineLevel="5">
      <c r="A192" s="53" t="str">
        <f>'Приложение 3'!A199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v>
      </c>
      <c r="B192" s="48" t="str">
        <f>'Приложение 3'!C199</f>
        <v>0702</v>
      </c>
      <c r="C192" s="48" t="str">
        <f>'Приложение 3'!D199</f>
        <v>53</v>
      </c>
      <c r="D192" s="48">
        <f>'Приложение 3'!E199</f>
        <v>0</v>
      </c>
      <c r="E192" s="48">
        <f>'Приложение 3'!F199</f>
        <v>600</v>
      </c>
      <c r="F192" s="47">
        <f>'Приложение 3'!G199</f>
        <v>0</v>
      </c>
      <c r="G192" s="47">
        <f>'Приложение 3'!H199</f>
        <v>2086.91567</v>
      </c>
      <c r="H192" s="47">
        <f>'Приложение 3'!I199</f>
        <v>2086.91567</v>
      </c>
      <c r="I192" s="121">
        <f t="shared" si="3"/>
        <v>100</v>
      </c>
    </row>
    <row r="193" spans="1:9" ht="15.75" outlineLevel="5">
      <c r="A193" s="53" t="str">
        <f>'Приложение 3'!A200</f>
        <v>За счет средств областного бюджета на питание</v>
      </c>
      <c r="B193" s="48" t="str">
        <f>'Приложение 3'!C200</f>
        <v>0702</v>
      </c>
      <c r="C193" s="48" t="str">
        <f>'Приложение 3'!D200</f>
        <v>53</v>
      </c>
      <c r="D193" s="48">
        <f>'Приложение 3'!E200</f>
        <v>0</v>
      </c>
      <c r="E193" s="48">
        <f>'Приложение 3'!F200</f>
        <v>600</v>
      </c>
      <c r="F193" s="47">
        <f>'Приложение 3'!G200</f>
        <v>0</v>
      </c>
      <c r="G193" s="47">
        <f>'Приложение 3'!H200</f>
        <v>1653.7</v>
      </c>
      <c r="H193" s="47">
        <f>'Приложение 3'!I200</f>
        <v>1320.97595</v>
      </c>
      <c r="I193" s="121">
        <f t="shared" si="3"/>
        <v>79.88002358347947</v>
      </c>
    </row>
    <row r="194" spans="1:9" ht="25.5" outlineLevel="5">
      <c r="A194" s="53" t="str">
        <f>'Приложение 3'!A201</f>
        <v>За счет средств на расходы на осуществление социальных гарантий молодым специалистам</v>
      </c>
      <c r="B194" s="48" t="str">
        <f>'Приложение 3'!C201</f>
        <v>0702</v>
      </c>
      <c r="C194" s="48" t="str">
        <f>'Приложение 3'!D201</f>
        <v>53</v>
      </c>
      <c r="D194" s="48">
        <f>'Приложение 3'!E201</f>
        <v>0</v>
      </c>
      <c r="E194" s="48">
        <f>'Приложение 3'!F201</f>
        <v>600</v>
      </c>
      <c r="F194" s="47">
        <f>'Приложение 3'!G201</f>
        <v>0</v>
      </c>
      <c r="G194" s="47">
        <f>'Приложение 3'!H201</f>
        <v>33.7</v>
      </c>
      <c r="H194" s="47">
        <f>'Приложение 3'!I201</f>
        <v>25.18688</v>
      </c>
      <c r="I194" s="121">
        <f t="shared" si="3"/>
        <v>74.73851632047477</v>
      </c>
    </row>
    <row r="195" spans="1:9" ht="25.5" outlineLevel="5">
      <c r="A195" s="53" t="str">
        <f>'Приложение 3'!A202</f>
        <v>За счет средств на софинансирование из федерального бюджета</v>
      </c>
      <c r="B195" s="48" t="str">
        <f>'Приложение 3'!C202</f>
        <v>0702</v>
      </c>
      <c r="C195" s="48" t="str">
        <f>'Приложение 3'!D202</f>
        <v>53</v>
      </c>
      <c r="D195" s="48">
        <f>'Приложение 3'!E202</f>
        <v>0</v>
      </c>
      <c r="E195" s="48">
        <f>'Приложение 3'!F202</f>
        <v>600</v>
      </c>
      <c r="F195" s="47">
        <f>'Приложение 3'!G202</f>
        <v>0</v>
      </c>
      <c r="G195" s="47">
        <f>'Приложение 3'!H202</f>
        <v>284.95</v>
      </c>
      <c r="H195" s="47">
        <f>'Приложение 3'!I202</f>
        <v>0</v>
      </c>
      <c r="I195" s="121">
        <f t="shared" si="3"/>
        <v>0</v>
      </c>
    </row>
    <row r="196" spans="1:9" ht="15.75" outlineLevel="5">
      <c r="A196" s="53" t="str">
        <f>'Приложение 3'!A203</f>
        <v>Учреждения по внешкольной работе с детьми</v>
      </c>
      <c r="B196" s="48" t="str">
        <f>'Приложение 3'!C203</f>
        <v>0702</v>
      </c>
      <c r="C196" s="48"/>
      <c r="D196" s="48"/>
      <c r="E196" s="48"/>
      <c r="F196" s="47">
        <f>'Приложение 3'!G203</f>
        <v>0</v>
      </c>
      <c r="G196" s="47">
        <f>'Приложение 3'!H203</f>
        <v>7266.499</v>
      </c>
      <c r="H196" s="47">
        <f>'Приложение 3'!I203</f>
        <v>4624.080910000001</v>
      </c>
      <c r="I196" s="121">
        <f aca="true" t="shared" si="4" ref="I196:I251">SUM(H196/G196)*100</f>
        <v>63.635609252819</v>
      </c>
    </row>
    <row r="197" spans="1:9" ht="51" outlineLevel="5">
      <c r="A197" s="53" t="str">
        <f>'Приложение 3'!A204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197" s="48" t="str">
        <f>'Приложение 3'!C204</f>
        <v>0702</v>
      </c>
      <c r="C197" s="48" t="str">
        <f>'Приложение 3'!D204</f>
        <v>54</v>
      </c>
      <c r="D197" s="48">
        <f>'Приложение 3'!E204</f>
        <v>0</v>
      </c>
      <c r="E197" s="48"/>
      <c r="F197" s="47">
        <f>'Приложение 3'!G204</f>
        <v>0</v>
      </c>
      <c r="G197" s="47">
        <f>'Приложение 3'!H204</f>
        <v>3651</v>
      </c>
      <c r="H197" s="47">
        <f>'Приложение 3'!I204</f>
        <v>2828.69666</v>
      </c>
      <c r="I197" s="121">
        <f t="shared" si="4"/>
        <v>77.47731196932347</v>
      </c>
    </row>
    <row r="198" spans="1:9" ht="25.5" outlineLevel="5">
      <c r="A198" s="53" t="str">
        <f>'Приложение 3'!A205</f>
        <v>Предоставление субсидий бюджетным, автономным учреждениям и иным некоммерческим организациям</v>
      </c>
      <c r="B198" s="48" t="str">
        <f>'Приложение 3'!C205</f>
        <v>0702</v>
      </c>
      <c r="C198" s="48" t="str">
        <f>'Приложение 3'!D205</f>
        <v>54</v>
      </c>
      <c r="D198" s="48">
        <f>'Приложение 3'!E205</f>
        <v>0</v>
      </c>
      <c r="E198" s="48">
        <f>'Приложение 3'!F205</f>
        <v>600</v>
      </c>
      <c r="F198" s="47">
        <f>'Приложение 3'!G205</f>
        <v>0</v>
      </c>
      <c r="G198" s="47">
        <f>'Приложение 3'!H205</f>
        <v>3651</v>
      </c>
      <c r="H198" s="47">
        <f>'Приложение 3'!I205</f>
        <v>2828.69666</v>
      </c>
      <c r="I198" s="121">
        <f t="shared" si="4"/>
        <v>77.47731196932347</v>
      </c>
    </row>
    <row r="199" spans="1:9" ht="51" outlineLevel="5">
      <c r="A199" s="53" t="str">
        <f>'Приложение 3'!A206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199" s="48" t="str">
        <f>'Приложение 3'!C206</f>
        <v>0702</v>
      </c>
      <c r="C199" s="48" t="str">
        <f>'Приложение 3'!D206</f>
        <v>55</v>
      </c>
      <c r="D199" s="48">
        <f>'Приложение 3'!E206</f>
        <v>0</v>
      </c>
      <c r="E199" s="48"/>
      <c r="F199" s="47">
        <f>'Приложение 3'!G206</f>
        <v>0</v>
      </c>
      <c r="G199" s="47">
        <f>'Приложение 3'!H206</f>
        <v>3615.499</v>
      </c>
      <c r="H199" s="47">
        <f>'Приложение 3'!I206</f>
        <v>1795.38425</v>
      </c>
      <c r="I199" s="121">
        <f t="shared" si="4"/>
        <v>49.6579932673194</v>
      </c>
    </row>
    <row r="200" spans="1:9" ht="25.5" outlineLevel="5">
      <c r="A200" s="53" t="str">
        <f>'Приложение 3'!A207</f>
        <v>Предоставление субсидий бюджетным, автономным учреждениям и иным некоммерческим организациям</v>
      </c>
      <c r="B200" s="48" t="str">
        <f>'Приложение 3'!C207</f>
        <v>0702</v>
      </c>
      <c r="C200" s="48" t="str">
        <f>'Приложение 3'!D207</f>
        <v>55</v>
      </c>
      <c r="D200" s="48">
        <f>'Приложение 3'!E207</f>
        <v>0</v>
      </c>
      <c r="E200" s="48">
        <f>'Приложение 3'!F207</f>
        <v>600</v>
      </c>
      <c r="F200" s="47">
        <f>'Приложение 3'!G207</f>
        <v>0</v>
      </c>
      <c r="G200" s="47">
        <f>'Приложение 3'!H207</f>
        <v>3600.899</v>
      </c>
      <c r="H200" s="47">
        <f>'Приложение 3'!I207</f>
        <v>1789.32995</v>
      </c>
      <c r="I200" s="121">
        <f t="shared" si="4"/>
        <v>49.69120072515225</v>
      </c>
    </row>
    <row r="201" spans="1:9" ht="25.5" outlineLevel="5">
      <c r="A201" s="53" t="str">
        <f>'Приложение 3'!A208</f>
        <v>За счет средств на расходы на осуществление социальных гарантий молодым специалистам</v>
      </c>
      <c r="B201" s="48" t="str">
        <f>'Приложение 3'!C208</f>
        <v>0702</v>
      </c>
      <c r="C201" s="48" t="str">
        <f>'Приложение 3'!D208</f>
        <v>55</v>
      </c>
      <c r="D201" s="48">
        <f>'Приложение 3'!E208</f>
        <v>0</v>
      </c>
      <c r="E201" s="48">
        <f>'Приложение 3'!F208</f>
        <v>600</v>
      </c>
      <c r="F201" s="47">
        <f>'Приложение 3'!G208</f>
        <v>0</v>
      </c>
      <c r="G201" s="47">
        <f>'Приложение 3'!H208</f>
        <v>14.6</v>
      </c>
      <c r="H201" s="47">
        <f>'Приложение 3'!I208</f>
        <v>6.0543</v>
      </c>
      <c r="I201" s="121">
        <f t="shared" si="4"/>
        <v>41.46780821917808</v>
      </c>
    </row>
    <row r="202" spans="1:9" ht="15.75" outlineLevel="5">
      <c r="A202" s="53" t="str">
        <f>'Приложение 3'!A209</f>
        <v>Молодежная политика и оздоровление детей</v>
      </c>
      <c r="B202" s="48" t="str">
        <f>'Приложение 3'!C209</f>
        <v>0707</v>
      </c>
      <c r="C202" s="48">
        <f>'Приложение 3'!D209</f>
      </c>
      <c r="D202" s="48">
        <f>'Приложение 3'!E209</f>
      </c>
      <c r="E202" s="48"/>
      <c r="F202" s="47">
        <f>'Приложение 3'!G209</f>
        <v>198.223</v>
      </c>
      <c r="G202" s="47">
        <f>'Приложение 3'!H209</f>
        <v>6159.423000000001</v>
      </c>
      <c r="H202" s="47">
        <f>'Приложение 3'!I209</f>
        <v>3204.91613</v>
      </c>
      <c r="I202" s="121">
        <f t="shared" si="4"/>
        <v>52.03273309853861</v>
      </c>
    </row>
    <row r="203" spans="1:9" ht="69" customHeight="1" outlineLevel="5">
      <c r="A203" s="53" t="str">
        <f>'Приложение 3'!A210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03" s="48" t="str">
        <f>'Приложение 3'!C210</f>
        <v>0707</v>
      </c>
      <c r="C203" s="48" t="str">
        <f>'Приложение 3'!D210</f>
        <v>07</v>
      </c>
      <c r="D203" s="48">
        <f>'Приложение 3'!E210</f>
        <v>0</v>
      </c>
      <c r="E203" s="48"/>
      <c r="F203" s="47">
        <f>'Приложение 3'!G210</f>
        <v>0</v>
      </c>
      <c r="G203" s="47">
        <f>'Приложение 3'!H210</f>
        <v>300</v>
      </c>
      <c r="H203" s="47">
        <f>'Приложение 3'!I210</f>
        <v>97.27579</v>
      </c>
      <c r="I203" s="121">
        <f t="shared" si="4"/>
        <v>32.42526333333333</v>
      </c>
    </row>
    <row r="204" spans="1:9" ht="25.5" outlineLevel="5">
      <c r="A204" s="53" t="str">
        <f>'Приложение 3'!A211</f>
        <v>Подпрограмма "Комплексные меры по противодействию наркомании"</v>
      </c>
      <c r="B204" s="48" t="str">
        <f>'Приложение 3'!C211</f>
        <v>0707</v>
      </c>
      <c r="C204" s="48" t="str">
        <f>'Приложение 3'!D211</f>
        <v>07</v>
      </c>
      <c r="D204" s="48">
        <f>'Приложение 3'!E211</f>
        <v>1</v>
      </c>
      <c r="E204" s="48"/>
      <c r="F204" s="47">
        <f>'Приложение 3'!G211</f>
        <v>0</v>
      </c>
      <c r="G204" s="47">
        <f>'Приложение 3'!H211</f>
        <v>50</v>
      </c>
      <c r="H204" s="47">
        <f>'Приложение 3'!I211</f>
        <v>20.5625</v>
      </c>
      <c r="I204" s="121">
        <f t="shared" si="4"/>
        <v>41.125</v>
      </c>
    </row>
    <row r="205" spans="1:9" ht="25.5" customHeight="1" outlineLevel="5">
      <c r="A205" s="53" t="str">
        <f>'Приложение 3'!A212</f>
        <v>Закупка товаров, работ и услуг для государственных (муниципальных) нужд</v>
      </c>
      <c r="B205" s="48" t="str">
        <f>'Приложение 3'!C212</f>
        <v>0707</v>
      </c>
      <c r="C205" s="48" t="str">
        <f>'Приложение 3'!D212</f>
        <v>07</v>
      </c>
      <c r="D205" s="48">
        <f>'Приложение 3'!E212</f>
        <v>1</v>
      </c>
      <c r="E205" s="48">
        <f>'Приложение 3'!F212</f>
        <v>200</v>
      </c>
      <c r="F205" s="47">
        <f>'Приложение 3'!G212</f>
        <v>0</v>
      </c>
      <c r="G205" s="47">
        <f>'Приложение 3'!H212</f>
        <v>50</v>
      </c>
      <c r="H205" s="47">
        <f>'Приложение 3'!I212</f>
        <v>20.5625</v>
      </c>
      <c r="I205" s="121">
        <f t="shared" si="4"/>
        <v>41.125</v>
      </c>
    </row>
    <row r="206" spans="1:9" ht="25.5" outlineLevel="5">
      <c r="A206" s="53" t="str">
        <f>'Приложение 3'!A213</f>
        <v>Подпрограмма "Реализация мероприятий молодежной политики и социальной адаптации молодежи "</v>
      </c>
      <c r="B206" s="48" t="str">
        <f>'Приложение 3'!C213</f>
        <v>0707</v>
      </c>
      <c r="C206" s="48" t="str">
        <f>'Приложение 3'!D213</f>
        <v>07</v>
      </c>
      <c r="D206" s="48">
        <f>'Приложение 3'!E213</f>
        <v>2</v>
      </c>
      <c r="E206" s="48"/>
      <c r="F206" s="47">
        <f>'Приложение 3'!G213</f>
        <v>0</v>
      </c>
      <c r="G206" s="47">
        <f>'Приложение 3'!H213</f>
        <v>200</v>
      </c>
      <c r="H206" s="47">
        <f>'Приложение 3'!I213</f>
        <v>66.71329</v>
      </c>
      <c r="I206" s="121">
        <f t="shared" si="4"/>
        <v>33.356645</v>
      </c>
    </row>
    <row r="207" spans="1:9" ht="27" customHeight="1" outlineLevel="5">
      <c r="A207" s="53" t="str">
        <f>'Приложение 3'!A214</f>
        <v>Закупка товаров, работ и услуг для государственных (муниципальных) нужд</v>
      </c>
      <c r="B207" s="48" t="str">
        <f>'Приложение 3'!C214</f>
        <v>0707</v>
      </c>
      <c r="C207" s="48" t="str">
        <f>'Приложение 3'!D214</f>
        <v>07</v>
      </c>
      <c r="D207" s="48">
        <f>'Приложение 3'!E214</f>
        <v>2</v>
      </c>
      <c r="E207" s="48">
        <f>'Приложение 3'!F214</f>
        <v>200</v>
      </c>
      <c r="F207" s="47">
        <f>'Приложение 3'!G214</f>
        <v>0</v>
      </c>
      <c r="G207" s="47">
        <f>'Приложение 3'!H214</f>
        <v>200</v>
      </c>
      <c r="H207" s="47">
        <f>'Приложение 3'!I214</f>
        <v>66.71329</v>
      </c>
      <c r="I207" s="121">
        <f t="shared" si="4"/>
        <v>33.356645</v>
      </c>
    </row>
    <row r="208" spans="1:9" ht="38.25" outlineLevel="5">
      <c r="A208" s="53" t="str">
        <f>'Приложение 3'!A215</f>
        <v>Подпрограмма " Профилактика безнадзорности , правонарушений и неблагополучия несовершеннолетних"</v>
      </c>
      <c r="B208" s="48" t="str">
        <f>'Приложение 3'!C215</f>
        <v>0707</v>
      </c>
      <c r="C208" s="48" t="str">
        <f>'Приложение 3'!D215</f>
        <v>07</v>
      </c>
      <c r="D208" s="48">
        <f>'Приложение 3'!E215</f>
        <v>3</v>
      </c>
      <c r="E208" s="48"/>
      <c r="F208" s="47">
        <f>'Приложение 3'!G215</f>
        <v>0</v>
      </c>
      <c r="G208" s="47">
        <f>'Приложение 3'!H215</f>
        <v>50</v>
      </c>
      <c r="H208" s="47">
        <f>'Приложение 3'!I215</f>
        <v>10</v>
      </c>
      <c r="I208" s="121">
        <f t="shared" si="4"/>
        <v>20</v>
      </c>
    </row>
    <row r="209" spans="1:9" ht="24" customHeight="1" outlineLevel="5">
      <c r="A209" s="53" t="str">
        <f>'Приложение 3'!A216</f>
        <v>Закупка товаров, работ и услуг для государственных (муниципальных) нужд</v>
      </c>
      <c r="B209" s="48" t="str">
        <f>'Приложение 3'!C216</f>
        <v>0707</v>
      </c>
      <c r="C209" s="48" t="str">
        <f>'Приложение 3'!D216</f>
        <v>07</v>
      </c>
      <c r="D209" s="48">
        <f>'Приложение 3'!E216</f>
        <v>3</v>
      </c>
      <c r="E209" s="48">
        <f>'Приложение 3'!F216</f>
        <v>200</v>
      </c>
      <c r="F209" s="47">
        <f>'Приложение 3'!G216</f>
        <v>0</v>
      </c>
      <c r="G209" s="47">
        <f>'Приложение 3'!H216</f>
        <v>50</v>
      </c>
      <c r="H209" s="47">
        <f>'Приложение 3'!I216</f>
        <v>10</v>
      </c>
      <c r="I209" s="121">
        <f t="shared" si="4"/>
        <v>20</v>
      </c>
    </row>
    <row r="210" spans="1:9" ht="38.25" outlineLevel="5">
      <c r="A210" s="53" t="str">
        <f>'Приложение 3'!A217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210" s="48" t="str">
        <f>'Приложение 3'!C217</f>
        <v>0707</v>
      </c>
      <c r="C210" s="48" t="str">
        <f>'Приложение 3'!D217</f>
        <v>10</v>
      </c>
      <c r="D210" s="48">
        <f>'Приложение 3'!E217</f>
        <v>0</v>
      </c>
      <c r="E210" s="48"/>
      <c r="F210" s="47">
        <f>'Приложение 3'!G217</f>
        <v>198.223</v>
      </c>
      <c r="G210" s="47">
        <f>'Приложение 3'!H217</f>
        <v>398.223</v>
      </c>
      <c r="H210" s="47">
        <f>'Приложение 3'!I217</f>
        <v>398.223</v>
      </c>
      <c r="I210" s="121">
        <f t="shared" si="4"/>
        <v>100</v>
      </c>
    </row>
    <row r="211" spans="1:9" ht="27" customHeight="1" outlineLevel="5">
      <c r="A211" s="53" t="str">
        <f>'Приложение 3'!A218</f>
        <v>Закупка товаров, работ и услуг для государственных (муниципальных) нужд</v>
      </c>
      <c r="B211" s="48" t="str">
        <f>'Приложение 3'!C218</f>
        <v>0707</v>
      </c>
      <c r="C211" s="48" t="str">
        <f>'Приложение 3'!D218</f>
        <v>10</v>
      </c>
      <c r="D211" s="48">
        <f>'Приложение 3'!E218</f>
        <v>0</v>
      </c>
      <c r="E211" s="48">
        <f>'Приложение 3'!F218</f>
        <v>200</v>
      </c>
      <c r="F211" s="47">
        <f>'Приложение 3'!G218</f>
        <v>198.223</v>
      </c>
      <c r="G211" s="47">
        <f>'Приложение 3'!H218</f>
        <v>398.223</v>
      </c>
      <c r="H211" s="47">
        <f>'Приложение 3'!I218</f>
        <v>398.223</v>
      </c>
      <c r="I211" s="121">
        <f t="shared" si="4"/>
        <v>100</v>
      </c>
    </row>
    <row r="212" spans="1:9" ht="38.25" outlineLevel="5">
      <c r="A212" s="53" t="str">
        <f>'Приложение 3'!A219</f>
        <v>Ведомственная целевая программа "Молодежная политика  на территории Алексеевского муниципального района на 2016-2018 годы" (СДЦ)</v>
      </c>
      <c r="B212" s="48" t="str">
        <f>'Приложение 3'!C219</f>
        <v>0707</v>
      </c>
      <c r="C212" s="48" t="str">
        <f>'Приложение 3'!D219</f>
        <v>56</v>
      </c>
      <c r="D212" s="48">
        <f>'Приложение 3'!E219</f>
        <v>0</v>
      </c>
      <c r="E212" s="48"/>
      <c r="F212" s="47">
        <f>'Приложение 3'!G219</f>
        <v>0</v>
      </c>
      <c r="G212" s="47">
        <f>'Приложение 3'!H219</f>
        <v>2500</v>
      </c>
      <c r="H212" s="47">
        <f>'Приложение 3'!I219</f>
        <v>1455.00424</v>
      </c>
      <c r="I212" s="121">
        <f t="shared" si="4"/>
        <v>58.200169599999995</v>
      </c>
    </row>
    <row r="213" spans="1:9" ht="31.5" customHeight="1" outlineLevel="5">
      <c r="A213" s="53" t="str">
        <f>'Приложение 3'!A220</f>
        <v>Предоставление субсидий бюджетным, автономным учреждениям и иным некоммерческим организациям</v>
      </c>
      <c r="B213" s="48" t="str">
        <f>'Приложение 3'!C220</f>
        <v>0707</v>
      </c>
      <c r="C213" s="48" t="str">
        <f>'Приложение 3'!D220</f>
        <v>56</v>
      </c>
      <c r="D213" s="48">
        <f>'Приложение 3'!E220</f>
        <v>0</v>
      </c>
      <c r="E213" s="48">
        <f>'Приложение 3'!F220</f>
        <v>600</v>
      </c>
      <c r="F213" s="47">
        <f>'Приложение 3'!G220</f>
        <v>0</v>
      </c>
      <c r="G213" s="47">
        <f>'Приложение 3'!H220</f>
        <v>2500</v>
      </c>
      <c r="H213" s="47">
        <f>'Приложение 3'!I220</f>
        <v>1455.00424</v>
      </c>
      <c r="I213" s="121">
        <f t="shared" si="4"/>
        <v>58.200169599999995</v>
      </c>
    </row>
    <row r="214" spans="1:9" ht="63.75" outlineLevel="5">
      <c r="A214" s="53" t="str">
        <f>'Приложение 3'!A221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14" s="48" t="str">
        <f>'Приложение 3'!C221</f>
        <v>0707</v>
      </c>
      <c r="C214" s="48" t="str">
        <f>'Приложение 3'!D221</f>
        <v>57</v>
      </c>
      <c r="D214" s="48">
        <f>'Приложение 3'!E221</f>
        <v>0</v>
      </c>
      <c r="E214" s="48"/>
      <c r="F214" s="47">
        <f>'Приложение 3'!G221</f>
        <v>0</v>
      </c>
      <c r="G214" s="47">
        <f>'Приложение 3'!H221</f>
        <v>1600</v>
      </c>
      <c r="H214" s="47">
        <f>'Приложение 3'!I221</f>
        <v>758.2309</v>
      </c>
      <c r="I214" s="121">
        <f t="shared" si="4"/>
        <v>47.38943125</v>
      </c>
    </row>
    <row r="215" spans="1:9" ht="33" customHeight="1" outlineLevel="5">
      <c r="A215" s="53" t="str">
        <f>'Приложение 3'!A222</f>
        <v>Предоставление субсидий бюджетным, автономным учреждениям и иным некоммерческим организациям</v>
      </c>
      <c r="B215" s="48" t="str">
        <f>'Приложение 3'!C222</f>
        <v>0707</v>
      </c>
      <c r="C215" s="48" t="str">
        <f>'Приложение 3'!D222</f>
        <v>57</v>
      </c>
      <c r="D215" s="48">
        <f>'Приложение 3'!E222</f>
        <v>0</v>
      </c>
      <c r="E215" s="48">
        <f>'Приложение 3'!F222</f>
        <v>600</v>
      </c>
      <c r="F215" s="47">
        <f>'Приложение 3'!G222</f>
        <v>0</v>
      </c>
      <c r="G215" s="47">
        <f>'Приложение 3'!H222</f>
        <v>1600</v>
      </c>
      <c r="H215" s="47">
        <f>'Приложение 3'!I222</f>
        <v>758.2309</v>
      </c>
      <c r="I215" s="121">
        <f t="shared" si="4"/>
        <v>47.38943125</v>
      </c>
    </row>
    <row r="216" spans="1:9" ht="42" customHeight="1" outlineLevel="5">
      <c r="A216" s="53" t="str">
        <f>'Приложение 3'!A223</f>
        <v>Субсидия на обеспечение полномочий органов местного самоуправления Волгоградской области по организации отдыха детей в каникулярное время</v>
      </c>
      <c r="B216" s="48" t="str">
        <f>'Приложение 3'!C223</f>
        <v>0707</v>
      </c>
      <c r="C216" s="48" t="str">
        <f>'Приложение 3'!D223</f>
        <v>57</v>
      </c>
      <c r="D216" s="48">
        <f>'Приложение 3'!E223</f>
        <v>0</v>
      </c>
      <c r="E216" s="48">
        <f>'Приложение 3'!F223</f>
        <v>600</v>
      </c>
      <c r="F216" s="47">
        <f>'Приложение 3'!G223</f>
        <v>0</v>
      </c>
      <c r="G216" s="47">
        <f>'Приложение 3'!H223</f>
        <v>0</v>
      </c>
      <c r="H216" s="47">
        <f>'Приложение 3'!I223</f>
        <v>0</v>
      </c>
      <c r="I216" s="121">
        <v>0</v>
      </c>
    </row>
    <row r="217" spans="1:9" ht="18" customHeight="1" outlineLevel="5">
      <c r="A217" s="53" t="str">
        <f>'Приложение 3'!A224</f>
        <v>Организация отдыха детей в лагерях дневного пребывания</v>
      </c>
      <c r="B217" s="48" t="str">
        <f>'Приложение 3'!C224</f>
        <v>99</v>
      </c>
      <c r="C217" s="48">
        <f>'Приложение 3'!D224</f>
        <v>0</v>
      </c>
      <c r="D217" s="48"/>
      <c r="E217" s="48"/>
      <c r="F217" s="47">
        <f>'Приложение 3'!G224</f>
        <v>0</v>
      </c>
      <c r="G217" s="47">
        <f>'Приложение 3'!H224</f>
        <v>1361.2000000000003</v>
      </c>
      <c r="H217" s="47">
        <f>'Приложение 3'!I224</f>
        <v>496.1822</v>
      </c>
      <c r="I217" s="121">
        <f t="shared" si="4"/>
        <v>36.45182192183367</v>
      </c>
    </row>
    <row r="218" spans="1:9" ht="29.25" customHeight="1" outlineLevel="5">
      <c r="A218" s="53" t="str">
        <f>'Приложение 3'!A225</f>
        <v>Непрограммные расходы органов местного самоуправления Алексеевского муниципального района</v>
      </c>
      <c r="B218" s="48" t="str">
        <f>'Приложение 3'!C225</f>
        <v>99</v>
      </c>
      <c r="C218" s="48">
        <f>'Приложение 3'!D225</f>
        <v>0</v>
      </c>
      <c r="D218" s="48"/>
      <c r="E218" s="48"/>
      <c r="F218" s="47">
        <f>'Приложение 3'!G225</f>
        <v>0</v>
      </c>
      <c r="G218" s="47">
        <f>'Приложение 3'!H225</f>
        <v>1361.2000000000003</v>
      </c>
      <c r="H218" s="47">
        <f>'Приложение 3'!I225</f>
        <v>496.1822</v>
      </c>
      <c r="I218" s="121">
        <f t="shared" si="4"/>
        <v>36.45182192183367</v>
      </c>
    </row>
    <row r="219" spans="1:9" ht="39.75" customHeight="1" outlineLevel="5">
      <c r="A219" s="53" t="str">
        <f>'Приложение 3'!A226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19" s="48" t="str">
        <f>'Приложение 3'!C226</f>
        <v>0707</v>
      </c>
      <c r="C219" s="48" t="str">
        <f>'Приложение 3'!D226</f>
        <v>99</v>
      </c>
      <c r="D219" s="48">
        <f>'Приложение 3'!E226</f>
        <v>0</v>
      </c>
      <c r="E219" s="48">
        <f>'Приложение 3'!F226</f>
        <v>600</v>
      </c>
      <c r="F219" s="47">
        <f>'Приложение 3'!G226</f>
        <v>0</v>
      </c>
      <c r="G219" s="47">
        <f>'Приложение 3'!H226</f>
        <v>1296.3000000000002</v>
      </c>
      <c r="H219" s="47">
        <f>'Приложение 3'!I226</f>
        <v>496.1822</v>
      </c>
      <c r="I219" s="121">
        <f t="shared" si="4"/>
        <v>38.27680320913369</v>
      </c>
    </row>
    <row r="220" spans="1:9" ht="31.5" customHeight="1" outlineLevel="5">
      <c r="A220" s="53" t="str">
        <f>'Приложение 3'!A227</f>
        <v>Предоставление субсидий бюджетным, автономным учреждениям и иным некоммерческим организациям</v>
      </c>
      <c r="B220" s="48" t="str">
        <f>'Приложение 3'!C227</f>
        <v>0707</v>
      </c>
      <c r="C220" s="48" t="str">
        <f>'Приложение 3'!D227</f>
        <v>99</v>
      </c>
      <c r="D220" s="48">
        <f>'Приложение 3'!E227</f>
        <v>0</v>
      </c>
      <c r="E220" s="48">
        <f>'Приложение 3'!F227</f>
        <v>600</v>
      </c>
      <c r="F220" s="47">
        <f>'Приложение 3'!G227</f>
        <v>0</v>
      </c>
      <c r="G220" s="47">
        <f>'Приложение 3'!H227</f>
        <v>64.9</v>
      </c>
      <c r="H220" s="47">
        <f>'Приложение 3'!I227</f>
        <v>0</v>
      </c>
      <c r="I220" s="121">
        <f t="shared" si="4"/>
        <v>0</v>
      </c>
    </row>
    <row r="221" spans="1:9" ht="15.75" outlineLevel="5">
      <c r="A221" s="53" t="str">
        <f>'Приложение 3'!A228</f>
        <v>Другие вопросы в области образования</v>
      </c>
      <c r="B221" s="48" t="str">
        <f>'Приложение 3'!C228</f>
        <v>0709</v>
      </c>
      <c r="C221" s="48"/>
      <c r="D221" s="48"/>
      <c r="E221" s="48"/>
      <c r="F221" s="47">
        <f>'Приложение 3'!G228</f>
        <v>175.85</v>
      </c>
      <c r="G221" s="47">
        <f>'Приложение 3'!H228</f>
        <v>800.85</v>
      </c>
      <c r="H221" s="47">
        <f>'Приложение 3'!I228</f>
        <v>357.17713</v>
      </c>
      <c r="I221" s="121">
        <f t="shared" si="4"/>
        <v>44.599754011362926</v>
      </c>
    </row>
    <row r="222" spans="1:9" ht="80.25" customHeight="1" outlineLevel="5">
      <c r="A222" s="53" t="str">
        <f>'Приложение 3'!A229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222" s="48" t="str">
        <f>'Приложение 3'!C229</f>
        <v>0709</v>
      </c>
      <c r="C222" s="48" t="str">
        <f>'Приложение 3'!D229</f>
        <v>08</v>
      </c>
      <c r="D222" s="48">
        <f>'Приложение 3'!E229</f>
        <v>0</v>
      </c>
      <c r="E222" s="48"/>
      <c r="F222" s="47">
        <f>'Приложение 3'!G229</f>
        <v>160</v>
      </c>
      <c r="G222" s="47">
        <f>'Приложение 3'!H229</f>
        <v>160</v>
      </c>
      <c r="H222" s="47">
        <f>'Приложение 3'!I229</f>
        <v>0</v>
      </c>
      <c r="I222" s="121">
        <f t="shared" si="4"/>
        <v>0</v>
      </c>
    </row>
    <row r="223" spans="1:9" ht="19.5" customHeight="1" outlineLevel="5">
      <c r="A223" s="53" t="str">
        <f>'Приложение 3'!A230</f>
        <v>Социальное обеспечение и иные выплаты населению</v>
      </c>
      <c r="B223" s="48" t="str">
        <f>'Приложение 3'!C230</f>
        <v>0709</v>
      </c>
      <c r="C223" s="48" t="str">
        <f>'Приложение 3'!D230</f>
        <v>08</v>
      </c>
      <c r="D223" s="48">
        <f>'Приложение 3'!E230</f>
        <v>0</v>
      </c>
      <c r="E223" s="48" t="s">
        <v>313</v>
      </c>
      <c r="F223" s="47">
        <f>'Приложение 3'!G230</f>
        <v>160</v>
      </c>
      <c r="G223" s="47">
        <f>'Приложение 3'!H230</f>
        <v>160</v>
      </c>
      <c r="H223" s="47">
        <f>'Приложение 3'!I230</f>
        <v>0</v>
      </c>
      <c r="I223" s="121">
        <f t="shared" si="4"/>
        <v>0</v>
      </c>
    </row>
    <row r="224" spans="1:9" ht="51" outlineLevel="5">
      <c r="A224" s="53" t="str">
        <f>'Приложение 3'!A231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24" s="48" t="str">
        <f>'Приложение 3'!C231</f>
        <v>0709</v>
      </c>
      <c r="C224" s="48" t="str">
        <f>'Приложение 3'!D231</f>
        <v>58</v>
      </c>
      <c r="D224" s="48">
        <f>'Приложение 3'!E231</f>
        <v>0</v>
      </c>
      <c r="E224" s="48"/>
      <c r="F224" s="47">
        <f>'Приложение 3'!G231</f>
        <v>15.85</v>
      </c>
      <c r="G224" s="47">
        <f>'Приложение 3'!H231</f>
        <v>640.85</v>
      </c>
      <c r="H224" s="47">
        <f>'Приложение 3'!I231</f>
        <v>357.17713</v>
      </c>
      <c r="I224" s="121">
        <f t="shared" si="4"/>
        <v>55.734903643598344</v>
      </c>
    </row>
    <row r="225" spans="1:9" ht="63.75" outlineLevel="2">
      <c r="A225" s="53" t="str">
        <f>'Приложение 3'!A232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5" s="48" t="str">
        <f>'Приложение 3'!C232</f>
        <v>0709</v>
      </c>
      <c r="C225" s="48" t="str">
        <f>'Приложение 3'!D232</f>
        <v>58</v>
      </c>
      <c r="D225" s="48">
        <f>'Приложение 3'!E232</f>
        <v>0</v>
      </c>
      <c r="E225" s="48">
        <f>'Приложение 3'!F232</f>
        <v>100</v>
      </c>
      <c r="F225" s="47">
        <f>'Приложение 3'!G232</f>
        <v>0</v>
      </c>
      <c r="G225" s="47">
        <f>'Приложение 3'!H232</f>
        <v>600</v>
      </c>
      <c r="H225" s="47">
        <f>'Приложение 3'!I232</f>
        <v>316.5056</v>
      </c>
      <c r="I225" s="121">
        <f t="shared" si="4"/>
        <v>52.750933333333336</v>
      </c>
    </row>
    <row r="226" spans="1:9" ht="25.5" outlineLevel="3">
      <c r="A226" s="53" t="str">
        <f>'Приложение 3'!A233</f>
        <v>Закупка товаров, работ и услуг для государственных (муниципальных) нужд</v>
      </c>
      <c r="B226" s="48" t="str">
        <f>'Приложение 3'!C233</f>
        <v>0709</v>
      </c>
      <c r="C226" s="48" t="str">
        <f>'Приложение 3'!D233</f>
        <v>58</v>
      </c>
      <c r="D226" s="48">
        <f>'Приложение 3'!E233</f>
        <v>0</v>
      </c>
      <c r="E226" s="48">
        <f>'Приложение 3'!F233</f>
        <v>200</v>
      </c>
      <c r="F226" s="47">
        <f>'Приложение 3'!G233</f>
        <v>15.85</v>
      </c>
      <c r="G226" s="47">
        <f>'Приложение 3'!H233</f>
        <v>40.65</v>
      </c>
      <c r="H226" s="47">
        <f>'Приложение 3'!I233</f>
        <v>40.65</v>
      </c>
      <c r="I226" s="121">
        <f t="shared" si="4"/>
        <v>100</v>
      </c>
    </row>
    <row r="227" spans="1:9" ht="15.75" outlineLevel="3">
      <c r="A227" s="53" t="str">
        <f>'Приложение 3'!A234</f>
        <v>Иные бюджетные ассигнования</v>
      </c>
      <c r="B227" s="48" t="str">
        <f>'Приложение 3'!C234</f>
        <v>0709</v>
      </c>
      <c r="C227" s="48" t="str">
        <f>'Приложение 3'!D234</f>
        <v>58</v>
      </c>
      <c r="D227" s="48">
        <f>'Приложение 3'!E234</f>
        <v>0</v>
      </c>
      <c r="E227" s="48">
        <f>'Приложение 3'!F234</f>
        <v>800</v>
      </c>
      <c r="F227" s="47">
        <f>'Приложение 3'!G234</f>
        <v>0</v>
      </c>
      <c r="G227" s="47">
        <f>'Приложение 3'!H234</f>
        <v>0.2</v>
      </c>
      <c r="H227" s="47">
        <f>'Приложение 3'!I234</f>
        <v>0.02153</v>
      </c>
      <c r="I227" s="121">
        <f t="shared" si="4"/>
        <v>10.764999999999999</v>
      </c>
    </row>
    <row r="228" spans="1:9" ht="15" customHeight="1" outlineLevel="3">
      <c r="A228" s="53" t="str">
        <f>'Приложение 3'!A235</f>
        <v>Культура, кинематография </v>
      </c>
      <c r="B228" s="48" t="str">
        <f>'Приложение 3'!C235</f>
        <v>0800</v>
      </c>
      <c r="C228" s="48"/>
      <c r="D228" s="48"/>
      <c r="E228" s="48"/>
      <c r="F228" s="47">
        <f>'Приложение 3'!G235</f>
        <v>0</v>
      </c>
      <c r="G228" s="47">
        <f>'Приложение 3'!H235</f>
        <v>8917.6</v>
      </c>
      <c r="H228" s="47">
        <f>'Приложение 3'!I235</f>
        <v>5259.18447</v>
      </c>
      <c r="I228" s="121">
        <f t="shared" si="4"/>
        <v>58.975334955593425</v>
      </c>
    </row>
    <row r="229" spans="1:9" ht="42" customHeight="1" outlineLevel="3">
      <c r="A229" s="53" t="str">
        <f>'Приложение 3'!A236</f>
        <v>Муниципальная программа  «Развитие народных художественных промыслов Алексеевского  муниципального района на 2016-2018 годы»</v>
      </c>
      <c r="B229" s="48" t="str">
        <f>'Приложение 3'!C236</f>
        <v>0801</v>
      </c>
      <c r="C229" s="48" t="str">
        <f>'Приложение 3'!D236</f>
        <v>12</v>
      </c>
      <c r="D229" s="48">
        <f>'Приложение 3'!E236</f>
        <v>0</v>
      </c>
      <c r="E229" s="48"/>
      <c r="F229" s="47">
        <f>'Приложение 3'!G236</f>
        <v>0</v>
      </c>
      <c r="G229" s="47">
        <f>'Приложение 3'!H236</f>
        <v>100</v>
      </c>
      <c r="H229" s="47">
        <f>'Приложение 3'!I236</f>
        <v>11</v>
      </c>
      <c r="I229" s="121">
        <f t="shared" si="4"/>
        <v>11</v>
      </c>
    </row>
    <row r="230" spans="1:9" ht="35.25" customHeight="1" outlineLevel="3">
      <c r="A230" s="53" t="str">
        <f>'Приложение 3'!A237</f>
        <v>Предоставление субсидий бюджетным, автономным учреждениям и иным некоммерческим организациям</v>
      </c>
      <c r="B230" s="48" t="str">
        <f>'Приложение 3'!C237</f>
        <v>0801</v>
      </c>
      <c r="C230" s="48" t="str">
        <f>'Приложение 3'!D237</f>
        <v>12</v>
      </c>
      <c r="D230" s="48">
        <f>'Приложение 3'!E237</f>
        <v>0</v>
      </c>
      <c r="E230" s="48">
        <f>'Приложение 3'!F237</f>
        <v>600</v>
      </c>
      <c r="F230" s="47">
        <f>'Приложение 3'!G237</f>
        <v>0</v>
      </c>
      <c r="G230" s="47">
        <f>'Приложение 3'!H237</f>
        <v>100</v>
      </c>
      <c r="H230" s="47">
        <f>'Приложение 3'!I237</f>
        <v>11</v>
      </c>
      <c r="I230" s="121">
        <f t="shared" si="4"/>
        <v>11</v>
      </c>
    </row>
    <row r="231" spans="1:9" ht="43.5" customHeight="1" outlineLevel="3">
      <c r="A231" s="53" t="str">
        <f>'Приложение 3'!A238</f>
        <v>Муниципальная программа "О поддержке деятельности казачьих обществ  Алексеевского муниципального района на 2016-2018 годы"</v>
      </c>
      <c r="B231" s="48" t="str">
        <f>'Приложение 3'!C238</f>
        <v>0801</v>
      </c>
      <c r="C231" s="48" t="str">
        <f>'Приложение 3'!D238</f>
        <v>13</v>
      </c>
      <c r="D231" s="48">
        <f>'Приложение 3'!E238</f>
        <v>0</v>
      </c>
      <c r="E231" s="48"/>
      <c r="F231" s="47">
        <f>'Приложение 3'!G238</f>
        <v>0</v>
      </c>
      <c r="G231" s="47">
        <f>'Приложение 3'!H238</f>
        <v>200</v>
      </c>
      <c r="H231" s="47">
        <f>'Приложение 3'!I238</f>
        <v>46.9266</v>
      </c>
      <c r="I231" s="121">
        <f t="shared" si="4"/>
        <v>23.4633</v>
      </c>
    </row>
    <row r="232" spans="1:9" ht="36" customHeight="1" outlineLevel="3">
      <c r="A232" s="53" t="str">
        <f>'Приложение 3'!A239</f>
        <v>Предоставление субсидий бюджетным, автономным учреждениям и иным некоммерческим организациям</v>
      </c>
      <c r="B232" s="48" t="str">
        <f>'Приложение 3'!C239</f>
        <v>0801</v>
      </c>
      <c r="C232" s="48" t="str">
        <f>'Приложение 3'!D239</f>
        <v>13</v>
      </c>
      <c r="D232" s="48">
        <f>'Приложение 3'!E239</f>
        <v>0</v>
      </c>
      <c r="E232" s="48">
        <f>'Приложение 3'!F239</f>
        <v>600</v>
      </c>
      <c r="F232" s="47">
        <f>'Приложение 3'!G239</f>
        <v>0</v>
      </c>
      <c r="G232" s="47">
        <f>'Приложение 3'!H239</f>
        <v>200</v>
      </c>
      <c r="H232" s="47">
        <f>'Приложение 3'!I239</f>
        <v>46.9266</v>
      </c>
      <c r="I232" s="121">
        <f t="shared" si="4"/>
        <v>23.4633</v>
      </c>
    </row>
    <row r="233" spans="1:9" ht="44.25" customHeight="1" outlineLevel="3">
      <c r="A233" s="53" t="str">
        <f>'Приложение 3'!A240</f>
        <v>Ведомственная целевая программа "Развитие культуры и искусства в Алексеевском муниципальном районе на 2016-2018 годы"</v>
      </c>
      <c r="B233" s="48" t="str">
        <f>'Приложение 3'!C240</f>
        <v>0800</v>
      </c>
      <c r="C233" s="48" t="str">
        <f>'Приложение 3'!D240</f>
        <v>59</v>
      </c>
      <c r="D233" s="48">
        <f>'Приложение 3'!E240</f>
        <v>0</v>
      </c>
      <c r="E233" s="48"/>
      <c r="F233" s="47">
        <f>'Приложение 3'!G240</f>
        <v>0</v>
      </c>
      <c r="G233" s="47">
        <f>'Приложение 3'!H240</f>
        <v>8617.6</v>
      </c>
      <c r="H233" s="47">
        <f>'Приложение 3'!I240</f>
        <v>5201.25787</v>
      </c>
      <c r="I233" s="121">
        <f t="shared" si="4"/>
        <v>60.356222962309694</v>
      </c>
    </row>
    <row r="234" spans="1:9" ht="15" customHeight="1" outlineLevel="3">
      <c r="A234" s="53" t="str">
        <f>'Приложение 3'!A241</f>
        <v>Дворцы и дома культуры, другие учреждения культуры</v>
      </c>
      <c r="B234" s="48" t="str">
        <f>'Приложение 3'!C241</f>
        <v>0801</v>
      </c>
      <c r="C234" s="48" t="str">
        <f>'Приложение 3'!D241</f>
        <v>59</v>
      </c>
      <c r="D234" s="48">
        <f>'Приложение 3'!E241</f>
        <v>0</v>
      </c>
      <c r="E234" s="48"/>
      <c r="F234" s="47">
        <f>'Приложение 3'!G241</f>
        <v>0</v>
      </c>
      <c r="G234" s="47">
        <f>'Приложение 3'!H241</f>
        <v>6032.6</v>
      </c>
      <c r="H234" s="47">
        <f>'Приложение 3'!I241</f>
        <v>3846.97351</v>
      </c>
      <c r="I234" s="121">
        <f t="shared" si="4"/>
        <v>63.769742896926694</v>
      </c>
    </row>
    <row r="235" spans="1:9" ht="34.5" customHeight="1" outlineLevel="1">
      <c r="A235" s="53" t="str">
        <f>'Приложение 3'!A242</f>
        <v>Предоставление субсидий бюджетным, автономным учреждениям и иным некоммерческим организациям</v>
      </c>
      <c r="B235" s="48" t="str">
        <f>'Приложение 3'!C242</f>
        <v>0801</v>
      </c>
      <c r="C235" s="48" t="str">
        <f>'Приложение 3'!D242</f>
        <v>59</v>
      </c>
      <c r="D235" s="48">
        <f>'Приложение 3'!E242</f>
        <v>0</v>
      </c>
      <c r="E235" s="48">
        <f>'Приложение 3'!F242</f>
        <v>600</v>
      </c>
      <c r="F235" s="47">
        <f>'Приложение 3'!G242</f>
        <v>0</v>
      </c>
      <c r="G235" s="47">
        <f>'Приложение 3'!H242</f>
        <v>5995</v>
      </c>
      <c r="H235" s="47">
        <f>'Приложение 3'!I242</f>
        <v>3840.35414</v>
      </c>
      <c r="I235" s="121">
        <f t="shared" si="4"/>
        <v>64.05928507089241</v>
      </c>
    </row>
    <row r="236" spans="1:9" ht="31.5" customHeight="1" outlineLevel="2">
      <c r="A236" s="53" t="str">
        <f>'Приложение 3'!A243</f>
        <v>За счет средств на расходы на осуществление социальных гарантий молодым специалистам</v>
      </c>
      <c r="B236" s="48" t="str">
        <f>'Приложение 3'!C243</f>
        <v>0801</v>
      </c>
      <c r="C236" s="48" t="str">
        <f>'Приложение 3'!D243</f>
        <v>59</v>
      </c>
      <c r="D236" s="48">
        <f>'Приложение 3'!E243</f>
        <v>0</v>
      </c>
      <c r="E236" s="48">
        <f>'Приложение 3'!F243</f>
        <v>600</v>
      </c>
      <c r="F236" s="47">
        <f>'Приложение 3'!G243</f>
        <v>0</v>
      </c>
      <c r="G236" s="47">
        <f>'Приложение 3'!H243</f>
        <v>37.6</v>
      </c>
      <c r="H236" s="47">
        <f>'Приложение 3'!I243</f>
        <v>6.61937</v>
      </c>
      <c r="I236" s="121">
        <f t="shared" si="4"/>
        <v>17.60470744680851</v>
      </c>
    </row>
    <row r="237" spans="1:9" ht="21" customHeight="1" outlineLevel="3">
      <c r="A237" s="53" t="str">
        <f>'Приложение 3'!A244</f>
        <v>Музей</v>
      </c>
      <c r="B237" s="48" t="str">
        <f>'Приложение 3'!C244</f>
        <v>0801</v>
      </c>
      <c r="C237" s="48" t="str">
        <f>'Приложение 3'!D244</f>
        <v>59</v>
      </c>
      <c r="D237" s="48">
        <f>'Приложение 3'!E244</f>
        <v>0</v>
      </c>
      <c r="E237" s="48"/>
      <c r="F237" s="47">
        <f>'Приложение 3'!G244</f>
        <v>0</v>
      </c>
      <c r="G237" s="47">
        <f>'Приложение 3'!H244</f>
        <v>722</v>
      </c>
      <c r="H237" s="47">
        <f>'Приложение 3'!I244</f>
        <v>311.2034</v>
      </c>
      <c r="I237" s="121">
        <f t="shared" si="4"/>
        <v>43.10296398891967</v>
      </c>
    </row>
    <row r="238" spans="1:9" ht="34.5" customHeight="1" outlineLevel="3">
      <c r="A238" s="53" t="str">
        <f>'Приложение 3'!A245</f>
        <v>Предоставление субсидий бюджетным, автономным учреждениям и иным некоммерческим организациям</v>
      </c>
      <c r="B238" s="48" t="str">
        <f>'Приложение 3'!C245</f>
        <v>0801</v>
      </c>
      <c r="C238" s="48" t="str">
        <f>'Приложение 3'!D245</f>
        <v>59</v>
      </c>
      <c r="D238" s="48">
        <f>'Приложение 3'!E245</f>
        <v>0</v>
      </c>
      <c r="E238" s="48">
        <f>'Приложение 3'!F245</f>
        <v>600</v>
      </c>
      <c r="F238" s="47">
        <f>'Приложение 3'!G245</f>
        <v>0</v>
      </c>
      <c r="G238" s="47">
        <f>'Приложение 3'!H245</f>
        <v>722</v>
      </c>
      <c r="H238" s="47">
        <f>'Приложение 3'!I245</f>
        <v>311.2034</v>
      </c>
      <c r="I238" s="121">
        <f t="shared" si="4"/>
        <v>43.10296398891967</v>
      </c>
    </row>
    <row r="239" spans="1:9" ht="18.75" customHeight="1" outlineLevel="3">
      <c r="A239" s="53" t="str">
        <f>'Приложение 3'!A246</f>
        <v>Библиотеки</v>
      </c>
      <c r="B239" s="48" t="str">
        <f>'Приложение 3'!C246</f>
        <v>0801</v>
      </c>
      <c r="C239" s="48" t="str">
        <f>'Приложение 3'!D246</f>
        <v>59</v>
      </c>
      <c r="D239" s="48">
        <f>'Приложение 3'!E246</f>
        <v>0</v>
      </c>
      <c r="E239" s="48"/>
      <c r="F239" s="47">
        <f>'Приложение 3'!G246</f>
        <v>0</v>
      </c>
      <c r="G239" s="47">
        <f>'Приложение 3'!H246</f>
        <v>895</v>
      </c>
      <c r="H239" s="47">
        <f>'Приложение 3'!I246</f>
        <v>515.98394</v>
      </c>
      <c r="I239" s="121">
        <f t="shared" si="4"/>
        <v>57.65183687150838</v>
      </c>
    </row>
    <row r="240" spans="1:9" ht="31.5" customHeight="1" outlineLevel="3">
      <c r="A240" s="53" t="str">
        <f>'Приложение 3'!A247</f>
        <v>Предоставление субсидий бюджетным, автономным учреждениям и иным некоммерческим организациям</v>
      </c>
      <c r="B240" s="48" t="str">
        <f>'Приложение 3'!C247</f>
        <v>0801</v>
      </c>
      <c r="C240" s="48" t="str">
        <f>'Приложение 3'!D247</f>
        <v>59</v>
      </c>
      <c r="D240" s="48">
        <f>'Приложение 3'!E247</f>
        <v>0</v>
      </c>
      <c r="E240" s="48">
        <f>'Приложение 3'!F247</f>
        <v>600</v>
      </c>
      <c r="F240" s="47">
        <f>'Приложение 3'!G247</f>
        <v>0</v>
      </c>
      <c r="G240" s="47">
        <f>'Приложение 3'!H247</f>
        <v>895</v>
      </c>
      <c r="H240" s="47">
        <f>'Приложение 3'!I247</f>
        <v>515.98394</v>
      </c>
      <c r="I240" s="121">
        <f t="shared" si="4"/>
        <v>57.65183687150838</v>
      </c>
    </row>
    <row r="241" spans="1:9" ht="28.5" customHeight="1" outlineLevel="1">
      <c r="A241" s="53" t="str">
        <f>'Приложение 3'!A248</f>
        <v>Мероприятия по комплектованию книжных фондов библиотек муниципальных образований</v>
      </c>
      <c r="B241" s="48" t="str">
        <f>'Приложение 3'!C248</f>
        <v>0801</v>
      </c>
      <c r="C241" s="48" t="str">
        <f>'Приложение 3'!D248</f>
        <v>59</v>
      </c>
      <c r="D241" s="48">
        <f>'Приложение 3'!E248</f>
        <v>0</v>
      </c>
      <c r="E241" s="48"/>
      <c r="F241" s="47">
        <f>'Приложение 3'!G248</f>
        <v>0</v>
      </c>
      <c r="G241" s="47">
        <f>'Приложение 3'!H248</f>
        <v>0</v>
      </c>
      <c r="H241" s="47">
        <f>'Приложение 3'!I248</f>
        <v>0</v>
      </c>
      <c r="I241" s="121">
        <v>0</v>
      </c>
    </row>
    <row r="242" spans="1:9" ht="51" outlineLevel="3">
      <c r="A242" s="53" t="str">
        <f>'Приложение 3'!A249</f>
        <v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v>
      </c>
      <c r="B242" s="48" t="str">
        <f>'Приложение 3'!C249</f>
        <v>0801</v>
      </c>
      <c r="C242" s="48" t="str">
        <f>'Приложение 3'!D249</f>
        <v>59</v>
      </c>
      <c r="D242" s="48">
        <f>'Приложение 3'!E249</f>
        <v>0</v>
      </c>
      <c r="E242" s="48">
        <f>'Приложение 3'!F249</f>
        <v>600</v>
      </c>
      <c r="F242" s="47">
        <f>'Приложение 3'!G249</f>
        <v>0</v>
      </c>
      <c r="G242" s="47">
        <f>'Приложение 3'!H249</f>
        <v>0</v>
      </c>
      <c r="H242" s="47">
        <f>'Приложение 3'!I249</f>
        <v>0</v>
      </c>
      <c r="I242" s="121">
        <v>0</v>
      </c>
    </row>
    <row r="243" spans="1:9" ht="16.5" customHeight="1" outlineLevel="3">
      <c r="A243" s="53" t="str">
        <f>'Приложение 3'!A250</f>
        <v>Кинематография</v>
      </c>
      <c r="B243" s="48" t="str">
        <f>'Приложение 3'!C250</f>
        <v>0802</v>
      </c>
      <c r="C243" s="48" t="str">
        <f>'Приложение 3'!D250</f>
        <v>59</v>
      </c>
      <c r="D243" s="48">
        <f>'Приложение 3'!E250</f>
        <v>0</v>
      </c>
      <c r="E243" s="48"/>
      <c r="F243" s="47">
        <f>'Приложение 3'!G250</f>
        <v>0</v>
      </c>
      <c r="G243" s="47">
        <f>'Приложение 3'!H250</f>
        <v>259</v>
      </c>
      <c r="H243" s="47">
        <f>'Приложение 3'!I250</f>
        <v>111.98483</v>
      </c>
      <c r="I243" s="121">
        <f t="shared" si="4"/>
        <v>43.2373861003861</v>
      </c>
    </row>
    <row r="244" spans="1:9" ht="33.75" customHeight="1" outlineLevel="1">
      <c r="A244" s="53" t="str">
        <f>'Приложение 3'!A251</f>
        <v>Предоставление субсидий бюджетным, автономным учреждениям и иным некоммерческим организациям</v>
      </c>
      <c r="B244" s="48" t="str">
        <f>'Приложение 3'!C251</f>
        <v>0802</v>
      </c>
      <c r="C244" s="48" t="str">
        <f>'Приложение 3'!D251</f>
        <v>59</v>
      </c>
      <c r="D244" s="48">
        <f>'Приложение 3'!E251</f>
        <v>0</v>
      </c>
      <c r="E244" s="48">
        <f>'Приложение 3'!F251</f>
        <v>600</v>
      </c>
      <c r="F244" s="47">
        <f>'Приложение 3'!G251</f>
        <v>0</v>
      </c>
      <c r="G244" s="47">
        <f>'Приложение 3'!H251</f>
        <v>259</v>
      </c>
      <c r="H244" s="47">
        <f>'Приложение 3'!I251</f>
        <v>111.98483</v>
      </c>
      <c r="I244" s="121">
        <f t="shared" si="4"/>
        <v>43.2373861003861</v>
      </c>
    </row>
    <row r="245" spans="1:9" ht="22.5" customHeight="1" outlineLevel="3">
      <c r="A245" s="53" t="str">
        <f>'Приложение 3'!A252</f>
        <v>Другие вопросы в области культуры, кинематографии </v>
      </c>
      <c r="B245" s="48" t="str">
        <f>'Приложение 3'!C252</f>
        <v>0804</v>
      </c>
      <c r="C245" s="48" t="str">
        <f>'Приложение 3'!D252</f>
        <v>59</v>
      </c>
      <c r="D245" s="48">
        <f>'Приложение 3'!E252</f>
        <v>0</v>
      </c>
      <c r="E245" s="48"/>
      <c r="F245" s="47">
        <f>'Приложение 3'!G252</f>
        <v>0</v>
      </c>
      <c r="G245" s="47">
        <f>'Приложение 3'!H252</f>
        <v>709</v>
      </c>
      <c r="H245" s="47">
        <f>'Приложение 3'!I252</f>
        <v>415.11219</v>
      </c>
      <c r="I245" s="121">
        <f t="shared" si="4"/>
        <v>58.54896897038082</v>
      </c>
    </row>
    <row r="246" spans="1:9" ht="26.25" customHeight="1" outlineLevel="3">
      <c r="A246" s="53" t="str">
        <f>'Приложение 3'!A253</f>
        <v>Предоставление субсидий бюджетным, автономным учреждениям и иным некоммерческим организациям</v>
      </c>
      <c r="B246" s="48" t="str">
        <f>'Приложение 3'!C253</f>
        <v>0804</v>
      </c>
      <c r="C246" s="48" t="str">
        <f>'Приложение 3'!D253</f>
        <v>59</v>
      </c>
      <c r="D246" s="48">
        <f>'Приложение 3'!E253</f>
        <v>0</v>
      </c>
      <c r="E246" s="48">
        <f>'Приложение 3'!F253</f>
        <v>600</v>
      </c>
      <c r="F246" s="47">
        <f>'Приложение 3'!G253</f>
        <v>0</v>
      </c>
      <c r="G246" s="47">
        <f>'Приложение 3'!H253</f>
        <v>709</v>
      </c>
      <c r="H246" s="47">
        <f>'Приложение 3'!I253</f>
        <v>415.11219</v>
      </c>
      <c r="I246" s="121">
        <f t="shared" si="4"/>
        <v>58.54896897038082</v>
      </c>
    </row>
    <row r="247" spans="1:9" ht="20.25" customHeight="1">
      <c r="A247" s="53" t="str">
        <f>'Приложение 3'!A254</f>
        <v>Социальная политика</v>
      </c>
      <c r="B247" s="48" t="str">
        <f>'Приложение 3'!C254</f>
        <v>1000</v>
      </c>
      <c r="C247" s="48"/>
      <c r="D247" s="48"/>
      <c r="E247" s="48"/>
      <c r="F247" s="47">
        <f>'Приложение 3'!G254</f>
        <v>1451.6</v>
      </c>
      <c r="G247" s="47">
        <f>'Приложение 3'!H254</f>
        <v>16276.560000000001</v>
      </c>
      <c r="H247" s="47">
        <f>'Приложение 3'!I254</f>
        <v>12154.49624</v>
      </c>
      <c r="I247" s="121">
        <f t="shared" si="4"/>
        <v>74.6748467735197</v>
      </c>
    </row>
    <row r="248" spans="1:9" s="16" customFormat="1" ht="27.75" customHeight="1" outlineLevel="2">
      <c r="A248" s="53" t="str">
        <f>'Приложение 3'!A255</f>
        <v>Доплаты к пенсии государственных служащих субъектов Российской Федерации и муниципальных служащих</v>
      </c>
      <c r="B248" s="48" t="str">
        <f>'Приложение 3'!C255</f>
        <v>1001</v>
      </c>
      <c r="C248" s="48"/>
      <c r="D248" s="48"/>
      <c r="E248" s="48"/>
      <c r="F248" s="47">
        <f>'Приложение 3'!G255</f>
        <v>0</v>
      </c>
      <c r="G248" s="47">
        <f>'Приложение 3'!H255</f>
        <v>1400</v>
      </c>
      <c r="H248" s="47">
        <f>'Приложение 3'!I255</f>
        <v>465.85975</v>
      </c>
      <c r="I248" s="121">
        <f t="shared" si="4"/>
        <v>33.27569642857143</v>
      </c>
    </row>
    <row r="249" spans="1:9" s="16" customFormat="1" ht="35.25" customHeight="1" outlineLevel="2">
      <c r="A249" s="53" t="str">
        <f>'Приложение 3'!A256</f>
        <v>Непрограммные расходы органов местного самоуправления Алексеевского муниципального района</v>
      </c>
      <c r="B249" s="48" t="str">
        <f>'Приложение 3'!C256</f>
        <v>1001</v>
      </c>
      <c r="C249" s="48" t="str">
        <f>'Приложение 3'!D256</f>
        <v>99</v>
      </c>
      <c r="D249" s="48">
        <f>'Приложение 3'!E256</f>
        <v>0</v>
      </c>
      <c r="E249" s="48"/>
      <c r="F249" s="47">
        <f>'Приложение 3'!G256</f>
        <v>0</v>
      </c>
      <c r="G249" s="47">
        <f>'Приложение 3'!H256</f>
        <v>1400</v>
      </c>
      <c r="H249" s="47">
        <f>'Приложение 3'!I256</f>
        <v>465.85975</v>
      </c>
      <c r="I249" s="121">
        <f t="shared" si="4"/>
        <v>33.27569642857143</v>
      </c>
    </row>
    <row r="250" spans="1:9" s="16" customFormat="1" ht="23.25" customHeight="1" outlineLevel="2">
      <c r="A250" s="53" t="str">
        <f>'Приложение 3'!A257</f>
        <v>Социальное обеспечение и иные выплаты населению</v>
      </c>
      <c r="B250" s="48" t="str">
        <f>'Приложение 3'!C257</f>
        <v>1001</v>
      </c>
      <c r="C250" s="48" t="str">
        <f>'Приложение 3'!D257</f>
        <v>99</v>
      </c>
      <c r="D250" s="48">
        <f>'Приложение 3'!E257</f>
        <v>0</v>
      </c>
      <c r="E250" s="48">
        <f>'Приложение 3'!F257</f>
        <v>300</v>
      </c>
      <c r="F250" s="47">
        <f>'Приложение 3'!G257</f>
        <v>0</v>
      </c>
      <c r="G250" s="47">
        <f>'Приложение 3'!H257</f>
        <v>1400</v>
      </c>
      <c r="H250" s="47">
        <f>'Приложение 3'!I257</f>
        <v>465.85975</v>
      </c>
      <c r="I250" s="121">
        <f t="shared" si="4"/>
        <v>33.27569642857143</v>
      </c>
    </row>
    <row r="251" spans="1:9" ht="18.75" customHeight="1" outlineLevel="3">
      <c r="A251" s="53" t="str">
        <f>'Приложение 3'!A258</f>
        <v>Социальное обеспечение населения</v>
      </c>
      <c r="B251" s="48" t="str">
        <f>'Приложение 3'!C258</f>
        <v>1003</v>
      </c>
      <c r="C251" s="48"/>
      <c r="D251" s="48"/>
      <c r="E251" s="48"/>
      <c r="F251" s="47">
        <f>'Приложение 3'!G258</f>
        <v>1254</v>
      </c>
      <c r="G251" s="47">
        <f>'Приложение 3'!H258</f>
        <v>11117.960000000001</v>
      </c>
      <c r="H251" s="47">
        <f>'Приложение 3'!I258</f>
        <v>8697.10771</v>
      </c>
      <c r="I251" s="121">
        <f t="shared" si="4"/>
        <v>78.22575103706075</v>
      </c>
    </row>
    <row r="252" spans="1:9" s="16" customFormat="1" ht="76.5" outlineLevel="2">
      <c r="A252" s="53" t="str">
        <f>'Приложение 3'!A259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252" s="48" t="str">
        <f>'Приложение 3'!C259</f>
        <v>1003</v>
      </c>
      <c r="C252" s="48" t="str">
        <f>'Приложение 3'!D259</f>
        <v>14</v>
      </c>
      <c r="D252" s="48">
        <f>'Приложение 3'!E259</f>
        <v>0</v>
      </c>
      <c r="E252" s="48"/>
      <c r="F252" s="47">
        <f>'Приложение 3'!G259</f>
        <v>0</v>
      </c>
      <c r="G252" s="47">
        <f>'Приложение 3'!H259</f>
        <v>495</v>
      </c>
      <c r="H252" s="47">
        <f>'Приложение 3'!I259</f>
        <v>185.919</v>
      </c>
      <c r="I252" s="121">
        <f aca="true" t="shared" si="5" ref="I252:I287">SUM(H252/G252)*100</f>
        <v>37.55939393939394</v>
      </c>
    </row>
    <row r="253" spans="1:9" s="16" customFormat="1" ht="19.5" customHeight="1" outlineLevel="2">
      <c r="A253" s="53" t="str">
        <f>'Приложение 3'!A260</f>
        <v>Социальное обеспечение и иные выплаты населению</v>
      </c>
      <c r="B253" s="48" t="str">
        <f>'Приложение 3'!C260</f>
        <v>1003</v>
      </c>
      <c r="C253" s="48" t="str">
        <f>'Приложение 3'!D260</f>
        <v>14</v>
      </c>
      <c r="D253" s="48">
        <f>'Приложение 3'!E260</f>
        <v>0</v>
      </c>
      <c r="E253" s="48">
        <f>'Приложение 3'!F260</f>
        <v>300</v>
      </c>
      <c r="F253" s="47">
        <f>'Приложение 3'!G260</f>
        <v>0</v>
      </c>
      <c r="G253" s="47">
        <f>'Приложение 3'!H260</f>
        <v>495</v>
      </c>
      <c r="H253" s="47">
        <f>'Приложение 3'!I260</f>
        <v>185.919</v>
      </c>
      <c r="I253" s="121">
        <f t="shared" si="5"/>
        <v>37.55939393939394</v>
      </c>
    </row>
    <row r="254" spans="1:9" s="16" customFormat="1" ht="29.25" customHeight="1" outlineLevel="2">
      <c r="A254" s="53" t="str">
        <f>'Приложение 3'!A261</f>
        <v>Непрограммные расходы органов местного самоуправления Алексеевского муниципального района</v>
      </c>
      <c r="B254" s="48" t="str">
        <f>'Приложение 3'!C261</f>
        <v>1003</v>
      </c>
      <c r="C254" s="48" t="str">
        <f>'Приложение 3'!D261</f>
        <v>99</v>
      </c>
      <c r="D254" s="48">
        <f>'Приложение 3'!E261</f>
        <v>0</v>
      </c>
      <c r="E254" s="48"/>
      <c r="F254" s="47">
        <f>'Приложение 3'!G261</f>
        <v>1254</v>
      </c>
      <c r="G254" s="47">
        <f>'Приложение 3'!H261</f>
        <v>10622.960000000001</v>
      </c>
      <c r="H254" s="47">
        <f>'Приложение 3'!I261</f>
        <v>8511.18871</v>
      </c>
      <c r="I254" s="121">
        <f t="shared" si="5"/>
        <v>80.12068867810854</v>
      </c>
    </row>
    <row r="255" spans="1:9" ht="114.75" outlineLevel="3">
      <c r="A255" s="53" t="str">
        <f>'Приложение 3'!A262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55" s="48" t="str">
        <f>'Приложение 3'!C262</f>
        <v>1003</v>
      </c>
      <c r="C255" s="48" t="str">
        <f>'Приложение 3'!D262</f>
        <v>99</v>
      </c>
      <c r="D255" s="48">
        <f>'Приложение 3'!E262</f>
        <v>0</v>
      </c>
      <c r="E255" s="48"/>
      <c r="F255" s="47">
        <f>'Приложение 3'!G262</f>
        <v>1254</v>
      </c>
      <c r="G255" s="47">
        <f>'Приложение 3'!H262</f>
        <v>6671.56</v>
      </c>
      <c r="H255" s="47">
        <f>'Приложение 3'!I262</f>
        <v>6618.2819</v>
      </c>
      <c r="I255" s="121">
        <f t="shared" si="5"/>
        <v>99.20141466163835</v>
      </c>
    </row>
    <row r="256" spans="1:9" ht="22.5" customHeight="1" outlineLevel="1">
      <c r="A256" s="53" t="str">
        <f>'Приложение 3'!A263</f>
        <v>Социальное обеспечение и иные выплаты населению</v>
      </c>
      <c r="B256" s="48" t="str">
        <f>'Приложение 3'!C263</f>
        <v>1003</v>
      </c>
      <c r="C256" s="48" t="str">
        <f>'Приложение 3'!D263</f>
        <v>99</v>
      </c>
      <c r="D256" s="48">
        <f>'Приложение 3'!E263</f>
        <v>0</v>
      </c>
      <c r="E256" s="48">
        <f>'Приложение 3'!F263</f>
        <v>300</v>
      </c>
      <c r="F256" s="47">
        <f>'Приложение 3'!G263</f>
        <v>1687.68073</v>
      </c>
      <c r="G256" s="47">
        <f>'Приложение 3'!H263</f>
        <v>6159.41373</v>
      </c>
      <c r="H256" s="47">
        <f>'Приложение 3'!I263</f>
        <v>6159.12698</v>
      </c>
      <c r="I256" s="121">
        <f t="shared" si="5"/>
        <v>99.99534452445363</v>
      </c>
    </row>
    <row r="257" spans="1:9" ht="63.75" outlineLevel="3">
      <c r="A257" s="53" t="str">
        <f>'Приложение 3'!A264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7" s="48" t="str">
        <f>'Приложение 3'!C264</f>
        <v>1003</v>
      </c>
      <c r="C257" s="48" t="str">
        <f>'Приложение 3'!D264</f>
        <v>99</v>
      </c>
      <c r="D257" s="48">
        <f>'Приложение 3'!E264</f>
        <v>0</v>
      </c>
      <c r="E257" s="48">
        <f>'Приложение 3'!F264</f>
        <v>100</v>
      </c>
      <c r="F257" s="47">
        <f>'Приложение 3'!G264</f>
        <v>-295.045</v>
      </c>
      <c r="G257" s="47">
        <f>'Приложение 3'!H264</f>
        <v>440.555</v>
      </c>
      <c r="H257" s="47">
        <f>'Приложение 3'!I264</f>
        <v>390.50283</v>
      </c>
      <c r="I257" s="121">
        <f t="shared" si="5"/>
        <v>88.63883737558308</v>
      </c>
    </row>
    <row r="258" spans="1:9" ht="27" customHeight="1" outlineLevel="1">
      <c r="A258" s="53" t="str">
        <f>'Приложение 3'!A265</f>
        <v>Закупка товаров, работ и услуг для государственных (муниципальных) нужд</v>
      </c>
      <c r="B258" s="48" t="str">
        <f>'Приложение 3'!C265</f>
        <v>1003</v>
      </c>
      <c r="C258" s="48" t="str">
        <f>'Приложение 3'!D265</f>
        <v>99</v>
      </c>
      <c r="D258" s="48">
        <f>'Приложение 3'!E265</f>
        <v>0</v>
      </c>
      <c r="E258" s="48">
        <f>'Приложение 3'!F265</f>
        <v>200</v>
      </c>
      <c r="F258" s="47">
        <f>'Приложение 3'!G265</f>
        <v>-138.63573</v>
      </c>
      <c r="G258" s="47">
        <f>'Приложение 3'!H265</f>
        <v>71.59127000000001</v>
      </c>
      <c r="H258" s="47">
        <f>'Приложение 3'!I265</f>
        <v>68.65209</v>
      </c>
      <c r="I258" s="121">
        <f t="shared" si="5"/>
        <v>95.89449942709494</v>
      </c>
    </row>
    <row r="259" spans="1:9" ht="97.5" customHeight="1" outlineLevel="2">
      <c r="A259" s="53" t="str">
        <f>'Приложение 3'!A266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59" s="48" t="str">
        <f>'Приложение 3'!C266</f>
        <v>1003</v>
      </c>
      <c r="C259" s="48" t="str">
        <f>'Приложение 3'!D266</f>
        <v>99</v>
      </c>
      <c r="D259" s="48">
        <f>'Приложение 3'!E266</f>
        <v>0</v>
      </c>
      <c r="E259" s="48">
        <f>'Приложение 3'!F266</f>
        <v>300</v>
      </c>
      <c r="F259" s="47">
        <f>'Приложение 3'!G266</f>
        <v>0</v>
      </c>
      <c r="G259" s="47">
        <f>'Приложение 3'!H266</f>
        <v>1447.5</v>
      </c>
      <c r="H259" s="47">
        <f>'Приложение 3'!I266</f>
        <v>535.24944</v>
      </c>
      <c r="I259" s="121">
        <f t="shared" si="5"/>
        <v>36.97750880829016</v>
      </c>
    </row>
    <row r="260" spans="1:9" ht="85.5" customHeight="1" outlineLevel="3">
      <c r="A260" s="53" t="str">
        <f>'Приложение 3'!A267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60" s="48" t="str">
        <f>'Приложение 3'!C267</f>
        <v>1003</v>
      </c>
      <c r="C260" s="48" t="str">
        <f>'Приложение 3'!D267</f>
        <v>99</v>
      </c>
      <c r="D260" s="48">
        <f>'Приложение 3'!E267</f>
        <v>0</v>
      </c>
      <c r="E260" s="48">
        <f>'Приложение 3'!F267</f>
        <v>300</v>
      </c>
      <c r="F260" s="47">
        <f>'Приложение 3'!G267</f>
        <v>0</v>
      </c>
      <c r="G260" s="47">
        <f>'Приложение 3'!H267</f>
        <v>18.6</v>
      </c>
      <c r="H260" s="47">
        <f>'Приложение 3'!I267</f>
        <v>11.85385</v>
      </c>
      <c r="I260" s="121">
        <f t="shared" si="5"/>
        <v>63.73037634408602</v>
      </c>
    </row>
    <row r="261" spans="1:9" ht="109.5" customHeight="1">
      <c r="A261" s="53" t="str">
        <f>'Приложение 3'!A268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61" s="48" t="str">
        <f>'Приложение 3'!C268</f>
        <v>1003</v>
      </c>
      <c r="C261" s="48" t="str">
        <f>'Приложение 3'!D268</f>
        <v>99</v>
      </c>
      <c r="D261" s="48">
        <f>'Приложение 3'!E268</f>
        <v>0</v>
      </c>
      <c r="E261" s="48">
        <f>'Приложение 3'!F268</f>
        <v>300</v>
      </c>
      <c r="F261" s="47">
        <f>'Приложение 3'!G268</f>
        <v>0</v>
      </c>
      <c r="G261" s="47">
        <f>'Приложение 3'!H268</f>
        <v>2485.3</v>
      </c>
      <c r="H261" s="47">
        <f>'Приложение 3'!I268</f>
        <v>1345.80352</v>
      </c>
      <c r="I261" s="121">
        <f t="shared" si="5"/>
        <v>54.15054601054198</v>
      </c>
    </row>
    <row r="262" spans="1:9" ht="15.75" outlineLevel="1">
      <c r="A262" s="53" t="str">
        <f>'Приложение 3'!A269</f>
        <v>Охрана семьи и детства</v>
      </c>
      <c r="B262" s="48" t="str">
        <f>'Приложение 3'!C269</f>
        <v>1004</v>
      </c>
      <c r="C262" s="48"/>
      <c r="D262" s="48"/>
      <c r="E262" s="48"/>
      <c r="F262" s="47">
        <f>'Приложение 3'!G269</f>
        <v>197.60000000000002</v>
      </c>
      <c r="G262" s="47">
        <f>'Приложение 3'!H269</f>
        <v>3758.6</v>
      </c>
      <c r="H262" s="47">
        <f>'Приложение 3'!I269</f>
        <v>2991.52878</v>
      </c>
      <c r="I262" s="121">
        <f t="shared" si="5"/>
        <v>79.59157079763742</v>
      </c>
    </row>
    <row r="263" spans="1:9" ht="38.25" outlineLevel="1">
      <c r="A263" s="53" t="str">
        <f>'Приложение 3'!A270</f>
        <v>Непрограммные расходы органов местного самоуправления Алексеевского муниципального района</v>
      </c>
      <c r="B263" s="48" t="str">
        <f>'Приложение 3'!C270</f>
        <v>1004</v>
      </c>
      <c r="C263" s="48" t="str">
        <f>'Приложение 3'!D270</f>
        <v>99</v>
      </c>
      <c r="D263" s="48">
        <f>'Приложение 3'!E270</f>
        <v>0</v>
      </c>
      <c r="E263" s="48"/>
      <c r="F263" s="47">
        <f>'Приложение 3'!G270</f>
        <v>197.60000000000002</v>
      </c>
      <c r="G263" s="47">
        <f>'Приложение 3'!H270</f>
        <v>3758.6</v>
      </c>
      <c r="H263" s="47">
        <f>'Приложение 3'!I270</f>
        <v>2991.52878</v>
      </c>
      <c r="I263" s="121">
        <f t="shared" si="5"/>
        <v>79.59157079763742</v>
      </c>
    </row>
    <row r="264" spans="1:9" ht="165.75" outlineLevel="5">
      <c r="A264" s="53" t="str">
        <f>'Приложение 3'!A271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64" s="48" t="str">
        <f>'Приложение 3'!C271</f>
        <v>1004</v>
      </c>
      <c r="C264" s="48" t="str">
        <f>'Приложение 3'!D271</f>
        <v>99</v>
      </c>
      <c r="D264" s="48">
        <f>'Приложение 3'!E271</f>
        <v>0</v>
      </c>
      <c r="E264" s="48"/>
      <c r="F264" s="47">
        <f>'Приложение 3'!G271</f>
        <v>0</v>
      </c>
      <c r="G264" s="47">
        <f>'Приложение 3'!H271</f>
        <v>1186.5</v>
      </c>
      <c r="H264" s="47">
        <f>'Приложение 3'!I271</f>
        <v>419.42878</v>
      </c>
      <c r="I264" s="121">
        <f t="shared" si="5"/>
        <v>35.35008680994522</v>
      </c>
    </row>
    <row r="265" spans="1:9" ht="20.25" customHeight="1" outlineLevel="5">
      <c r="A265" s="53" t="str">
        <f>'Приложение 3'!A272</f>
        <v>Социальные выплаты</v>
      </c>
      <c r="B265" s="48" t="str">
        <f>'Приложение 3'!C272</f>
        <v>1004</v>
      </c>
      <c r="C265" s="48" t="str">
        <f>'Приложение 3'!D272</f>
        <v>99</v>
      </c>
      <c r="D265" s="48">
        <f>'Приложение 3'!E272</f>
        <v>0</v>
      </c>
      <c r="E265" s="48">
        <f>'Приложение 3'!F272</f>
        <v>300</v>
      </c>
      <c r="F265" s="47">
        <f>'Приложение 3'!G272</f>
        <v>0</v>
      </c>
      <c r="G265" s="47">
        <f>'Приложение 3'!H272</f>
        <v>1174.75</v>
      </c>
      <c r="H265" s="47">
        <f>'Приложение 3'!I272</f>
        <v>415.30791</v>
      </c>
      <c r="I265" s="121">
        <f t="shared" si="5"/>
        <v>35.35287593104916</v>
      </c>
    </row>
    <row r="266" spans="1:9" ht="30.75" customHeight="1" outlineLevel="2">
      <c r="A266" s="53" t="str">
        <f>'Приложение 3'!A273</f>
        <v>Закупка товаров, работ и услуг для государственных (муниципальных) нужд</v>
      </c>
      <c r="B266" s="48" t="str">
        <f>'Приложение 3'!C273</f>
        <v>1004</v>
      </c>
      <c r="C266" s="48" t="str">
        <f>'Приложение 3'!D273</f>
        <v>99</v>
      </c>
      <c r="D266" s="48">
        <f>'Приложение 3'!E273</f>
        <v>0</v>
      </c>
      <c r="E266" s="48">
        <f>'Приложение 3'!F273</f>
        <v>200</v>
      </c>
      <c r="F266" s="47">
        <f>'Приложение 3'!G273</f>
        <v>0</v>
      </c>
      <c r="G266" s="47">
        <f>'Приложение 3'!H273</f>
        <v>11.75</v>
      </c>
      <c r="H266" s="47">
        <f>'Приложение 3'!I273</f>
        <v>4.12087</v>
      </c>
      <c r="I266" s="121">
        <f t="shared" si="5"/>
        <v>35.071234042553186</v>
      </c>
    </row>
    <row r="267" spans="1:9" ht="130.5" customHeight="1" outlineLevel="3">
      <c r="A267" s="53" t="str">
        <f>'Приложение 3'!A274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67" s="48" t="str">
        <f>'Приложение 3'!C274</f>
        <v>1004</v>
      </c>
      <c r="C267" s="48" t="str">
        <f>'Приложение 3'!D274</f>
        <v>99</v>
      </c>
      <c r="D267" s="48">
        <f>'Приложение 3'!E274</f>
        <v>0</v>
      </c>
      <c r="E267" s="48"/>
      <c r="F267" s="47">
        <f>'Приложение 3'!G274</f>
        <v>197.60000000000002</v>
      </c>
      <c r="G267" s="47">
        <f>'Приложение 3'!H274</f>
        <v>2572.1</v>
      </c>
      <c r="H267" s="47">
        <f>'Приложение 3'!I274</f>
        <v>2572.1</v>
      </c>
      <c r="I267" s="121">
        <f t="shared" si="5"/>
        <v>100</v>
      </c>
    </row>
    <row r="268" spans="1:9" ht="15.75" outlineLevel="2">
      <c r="A268" s="53" t="str">
        <f>'Приложение 3'!A275</f>
        <v>на выплату пособий по опеке и попечительству</v>
      </c>
      <c r="B268" s="48" t="str">
        <f>'Приложение 3'!C275</f>
        <v>1004</v>
      </c>
      <c r="C268" s="48" t="str">
        <f>'Приложение 3'!D275</f>
        <v>99</v>
      </c>
      <c r="D268" s="48">
        <f>'Приложение 3'!E275</f>
        <v>0</v>
      </c>
      <c r="E268" s="48">
        <f>'Приложение 3'!F275</f>
        <v>300</v>
      </c>
      <c r="F268" s="47">
        <f>'Приложение 3'!G275</f>
        <v>118.4</v>
      </c>
      <c r="G268" s="47">
        <f>'Приложение 3'!H275</f>
        <v>2150</v>
      </c>
      <c r="H268" s="47">
        <f>'Приложение 3'!I275</f>
        <v>2150</v>
      </c>
      <c r="I268" s="121">
        <f t="shared" si="5"/>
        <v>100</v>
      </c>
    </row>
    <row r="269" spans="1:9" ht="50.25" customHeight="1" outlineLevel="3">
      <c r="A269" s="53" t="str">
        <f>'Приложение 3'!A276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69" s="48" t="str">
        <f>'Приложение 3'!C276</f>
        <v>1004</v>
      </c>
      <c r="C269" s="48" t="str">
        <f>'Приложение 3'!D276</f>
        <v>99</v>
      </c>
      <c r="D269" s="48">
        <f>'Приложение 3'!E276</f>
        <v>0</v>
      </c>
      <c r="E269" s="48">
        <f>'Приложение 3'!F276</f>
        <v>300</v>
      </c>
      <c r="F269" s="47">
        <f>'Приложение 3'!G276</f>
        <v>79.2</v>
      </c>
      <c r="G269" s="47">
        <f>'Приложение 3'!H276</f>
        <v>422.09999999999997</v>
      </c>
      <c r="H269" s="47">
        <f>'Приложение 3'!I276</f>
        <v>422.1</v>
      </c>
      <c r="I269" s="121">
        <f t="shared" si="5"/>
        <v>100.00000000000003</v>
      </c>
    </row>
    <row r="270" spans="1:9" ht="20.25" customHeight="1" outlineLevel="2">
      <c r="A270" s="53" t="str">
        <f>'Приложение 3'!A277</f>
        <v>Физическая культура и спорт</v>
      </c>
      <c r="B270" s="48" t="str">
        <f>'Приложение 3'!C277</f>
        <v>1100</v>
      </c>
      <c r="C270" s="48"/>
      <c r="D270" s="48"/>
      <c r="E270" s="48"/>
      <c r="F270" s="47">
        <f>'Приложение 3'!G277</f>
        <v>0</v>
      </c>
      <c r="G270" s="47">
        <f>'Приложение 3'!H277</f>
        <v>760</v>
      </c>
      <c r="H270" s="47">
        <f>'Приложение 3'!I277</f>
        <v>536.18477</v>
      </c>
      <c r="I270" s="121">
        <f t="shared" si="5"/>
        <v>70.55062763157895</v>
      </c>
    </row>
    <row r="271" spans="1:9" ht="38.25" outlineLevel="3">
      <c r="A271" s="53" t="str">
        <f>'Приложение 3'!A278</f>
        <v>Муниципальная программа "Развитие физической культуры и спорта в Алексеевском муниципальном районе на 2016-2018 годы"</v>
      </c>
      <c r="B271" s="48" t="str">
        <f>'Приложение 3'!C278</f>
        <v>1105</v>
      </c>
      <c r="C271" s="48" t="str">
        <f>'Приложение 3'!D278</f>
        <v>17</v>
      </c>
      <c r="D271" s="48">
        <f>'Приложение 3'!E278</f>
        <v>0</v>
      </c>
      <c r="E271" s="48"/>
      <c r="F271" s="47">
        <f>'Приложение 3'!G278</f>
        <v>0</v>
      </c>
      <c r="G271" s="47">
        <f>'Приложение 3'!H278</f>
        <v>760</v>
      </c>
      <c r="H271" s="47">
        <f>'Приложение 3'!I278</f>
        <v>536.18477</v>
      </c>
      <c r="I271" s="121">
        <f t="shared" si="5"/>
        <v>70.55062763157895</v>
      </c>
    </row>
    <row r="272" spans="1:9" ht="30" customHeight="1" outlineLevel="3">
      <c r="A272" s="53" t="str">
        <f>'Приложение 3'!A279</f>
        <v>Закупка товаров, работ и услуг для государственных (муниципальных) нужд</v>
      </c>
      <c r="B272" s="48" t="str">
        <f>'Приложение 3'!C279</f>
        <v>1105</v>
      </c>
      <c r="C272" s="48" t="str">
        <f>'Приложение 3'!D279</f>
        <v>17</v>
      </c>
      <c r="D272" s="48">
        <f>'Приложение 3'!E279</f>
        <v>0</v>
      </c>
      <c r="E272" s="48">
        <f>'Приложение 3'!F279</f>
        <v>200</v>
      </c>
      <c r="F272" s="47">
        <f>'Приложение 3'!G279</f>
        <v>0</v>
      </c>
      <c r="G272" s="47">
        <f>'Приложение 3'!H279</f>
        <v>760</v>
      </c>
      <c r="H272" s="47">
        <f>'Приложение 3'!I279</f>
        <v>536.18477</v>
      </c>
      <c r="I272" s="121">
        <f t="shared" si="5"/>
        <v>70.55062763157895</v>
      </c>
    </row>
    <row r="273" spans="1:9" ht="21" customHeight="1" outlineLevel="3">
      <c r="A273" s="53" t="str">
        <f>'Приложение 3'!A280</f>
        <v>Средства массовой информации </v>
      </c>
      <c r="B273" s="48" t="str">
        <f>'Приложение 3'!C280</f>
        <v>1200</v>
      </c>
      <c r="C273" s="48"/>
      <c r="D273" s="48"/>
      <c r="E273" s="48"/>
      <c r="F273" s="47">
        <f>'Приложение 3'!G280</f>
        <v>0</v>
      </c>
      <c r="G273" s="47">
        <f>'Приложение 3'!H280</f>
        <v>1877.551</v>
      </c>
      <c r="H273" s="47">
        <f>'Приложение 3'!I280</f>
        <v>1289.551</v>
      </c>
      <c r="I273" s="121">
        <f t="shared" si="5"/>
        <v>68.68260835524575</v>
      </c>
    </row>
    <row r="274" spans="1:9" ht="19.5" customHeight="1" outlineLevel="3">
      <c r="A274" s="53" t="str">
        <f>'Приложение 3'!A281</f>
        <v>Телевидение и радиовещание</v>
      </c>
      <c r="B274" s="48" t="str">
        <f>'Приложение 3'!C281</f>
        <v>1201</v>
      </c>
      <c r="C274" s="48"/>
      <c r="D274" s="48"/>
      <c r="E274" s="48"/>
      <c r="F274" s="47">
        <f>'Приложение 3'!G281</f>
        <v>0</v>
      </c>
      <c r="G274" s="47">
        <f>'Приложение 3'!H281</f>
        <v>0</v>
      </c>
      <c r="H274" s="47">
        <f>'Приложение 3'!I281</f>
        <v>0</v>
      </c>
      <c r="I274" s="121">
        <v>0</v>
      </c>
    </row>
    <row r="275" spans="1:9" ht="17.25" customHeight="1" outlineLevel="3">
      <c r="A275" s="53" t="str">
        <f>'Приложение 3'!A282</f>
        <v>Периодическая печать и издательство</v>
      </c>
      <c r="B275" s="48" t="str">
        <f>'Приложение 3'!C282</f>
        <v>1202</v>
      </c>
      <c r="C275" s="48"/>
      <c r="D275" s="48"/>
      <c r="E275" s="48"/>
      <c r="F275" s="47">
        <f>'Приложение 3'!G282</f>
        <v>0</v>
      </c>
      <c r="G275" s="47">
        <f>'Приложение 3'!H282</f>
        <v>1877.551</v>
      </c>
      <c r="H275" s="47">
        <f>'Приложение 3'!I282</f>
        <v>1289.551</v>
      </c>
      <c r="I275" s="121">
        <f t="shared" si="5"/>
        <v>68.68260835524575</v>
      </c>
    </row>
    <row r="276" spans="1:9" ht="38.25" outlineLevel="1">
      <c r="A276" s="53" t="str">
        <f>'Приложение 3'!A283</f>
        <v>Ведомственная целевая программа "Поддержка средств массовой информации  в Алексеевском муниципальном районе на 2016-2018 годы"</v>
      </c>
      <c r="B276" s="48" t="str">
        <f>'Приложение 3'!C283</f>
        <v>1202</v>
      </c>
      <c r="C276" s="48" t="str">
        <f>'Приложение 3'!D283</f>
        <v>61</v>
      </c>
      <c r="D276" s="48">
        <f>'Приложение 3'!E283</f>
        <v>0</v>
      </c>
      <c r="E276" s="48"/>
      <c r="F276" s="47">
        <f>'Приложение 3'!G283</f>
        <v>0</v>
      </c>
      <c r="G276" s="47">
        <f>'Приложение 3'!H283</f>
        <v>1877.551</v>
      </c>
      <c r="H276" s="47">
        <f>'Приложение 3'!I283</f>
        <v>1289.551</v>
      </c>
      <c r="I276" s="121">
        <f t="shared" si="5"/>
        <v>68.68260835524575</v>
      </c>
    </row>
    <row r="277" spans="1:9" ht="25.5" outlineLevel="2">
      <c r="A277" s="53" t="str">
        <f>'Приложение 3'!A284</f>
        <v>Предоставление субсидий бюджетным, автономным учреждениям и иным некоммерческим организациям</v>
      </c>
      <c r="B277" s="48" t="str">
        <f>'Приложение 3'!C284</f>
        <v>1202</v>
      </c>
      <c r="C277" s="48" t="str">
        <f>'Приложение 3'!D284</f>
        <v>61</v>
      </c>
      <c r="D277" s="48">
        <f>'Приложение 3'!E284</f>
        <v>0</v>
      </c>
      <c r="E277" s="48">
        <f>'Приложение 3'!F284</f>
        <v>600</v>
      </c>
      <c r="F277" s="47">
        <f>'Приложение 3'!G284</f>
        <v>0</v>
      </c>
      <c r="G277" s="47">
        <f>'Приложение 3'!H284</f>
        <v>700</v>
      </c>
      <c r="H277" s="47">
        <f>'Приложение 3'!I284</f>
        <v>112</v>
      </c>
      <c r="I277" s="121">
        <f t="shared" si="5"/>
        <v>16</v>
      </c>
    </row>
    <row r="278" spans="1:9" ht="111" customHeight="1" outlineLevel="2">
      <c r="A278" s="53" t="str">
        <f>'Приложение 3'!A285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78" s="48" t="str">
        <f>'Приложение 3'!C285</f>
        <v>1202</v>
      </c>
      <c r="C278" s="48" t="str">
        <f>'Приложение 3'!D285</f>
        <v>61</v>
      </c>
      <c r="D278" s="48">
        <f>'Приложение 3'!E285</f>
        <v>0</v>
      </c>
      <c r="E278" s="48">
        <f>'Приложение 3'!F285</f>
        <v>600</v>
      </c>
      <c r="F278" s="47">
        <f>'Приложение 3'!G285</f>
        <v>0</v>
      </c>
      <c r="G278" s="47">
        <f>'Приложение 3'!H285</f>
        <v>1177.551</v>
      </c>
      <c r="H278" s="47">
        <f>'Приложение 3'!I285</f>
        <v>1177.551</v>
      </c>
      <c r="I278" s="121">
        <f t="shared" si="5"/>
        <v>100</v>
      </c>
    </row>
    <row r="279" spans="1:9" ht="25.5" outlineLevel="5">
      <c r="A279" s="53" t="str">
        <f>'Приложение 3'!A286</f>
        <v>Обслуживание государственного и муниципального долга </v>
      </c>
      <c r="B279" s="48" t="str">
        <f>'Приложение 3'!C286</f>
        <v>1300</v>
      </c>
      <c r="C279" s="48"/>
      <c r="D279" s="48"/>
      <c r="E279" s="48"/>
      <c r="F279" s="47">
        <f>'Приложение 3'!G286</f>
        <v>312.5</v>
      </c>
      <c r="G279" s="47">
        <f>'Приложение 3'!H286</f>
        <v>312.5</v>
      </c>
      <c r="H279" s="47">
        <f>'Приложение 3'!I286</f>
        <v>0</v>
      </c>
      <c r="I279" s="121">
        <f t="shared" si="5"/>
        <v>0</v>
      </c>
    </row>
    <row r="280" spans="1:9" ht="25.5" outlineLevel="5">
      <c r="A280" s="53" t="str">
        <f>'Приложение 3'!A287</f>
        <v>Обслуживание государственного внутреннего и муниципального долга</v>
      </c>
      <c r="B280" s="48" t="str">
        <f>'Приложение 3'!C287</f>
        <v>1301</v>
      </c>
      <c r="C280" s="48"/>
      <c r="D280" s="48"/>
      <c r="E280" s="48"/>
      <c r="F280" s="47">
        <f>'Приложение 3'!G287</f>
        <v>312.5</v>
      </c>
      <c r="G280" s="47">
        <f>'Приложение 3'!H287</f>
        <v>312.5</v>
      </c>
      <c r="H280" s="47">
        <f>'Приложение 3'!I287</f>
        <v>0</v>
      </c>
      <c r="I280" s="121">
        <f t="shared" si="5"/>
        <v>0</v>
      </c>
    </row>
    <row r="281" spans="1:9" ht="36" customHeight="1" outlineLevel="5">
      <c r="A281" s="53" t="str">
        <f>'Приложение 3'!A288</f>
        <v>Непрограммные расходы органов местного самоуправления Алексеевского муниципального района</v>
      </c>
      <c r="B281" s="48" t="str">
        <f>'Приложение 3'!C288</f>
        <v>1301</v>
      </c>
      <c r="C281" s="48" t="str">
        <f>'Приложение 3'!D288</f>
        <v>99</v>
      </c>
      <c r="D281" s="48">
        <f>'Приложение 3'!E288</f>
        <v>0</v>
      </c>
      <c r="E281" s="48"/>
      <c r="F281" s="47">
        <f>'Приложение 3'!G288</f>
        <v>312.5</v>
      </c>
      <c r="G281" s="47">
        <f>'Приложение 3'!H288</f>
        <v>312.5</v>
      </c>
      <c r="H281" s="47">
        <f>'Приложение 3'!I288</f>
        <v>0</v>
      </c>
      <c r="I281" s="121">
        <f t="shared" si="5"/>
        <v>0</v>
      </c>
    </row>
    <row r="282" spans="1:9" ht="25.5" outlineLevel="5">
      <c r="A282" s="53" t="str">
        <f>'Приложение 3'!A289</f>
        <v>Обслуживание  государственного (муниципального) долга </v>
      </c>
      <c r="B282" s="48" t="str">
        <f>'Приложение 3'!C289</f>
        <v>1301</v>
      </c>
      <c r="C282" s="48" t="str">
        <f>'Приложение 3'!D289</f>
        <v>99</v>
      </c>
      <c r="D282" s="48">
        <f>'Приложение 3'!E289</f>
        <v>0</v>
      </c>
      <c r="E282" s="48">
        <f>'Приложение 3'!F289</f>
        <v>700</v>
      </c>
      <c r="F282" s="47">
        <f>'Приложение 3'!G289</f>
        <v>312.5</v>
      </c>
      <c r="G282" s="47">
        <f>'Приложение 3'!H289</f>
        <v>312.5</v>
      </c>
      <c r="H282" s="47">
        <f>'Приложение 3'!I289</f>
        <v>0</v>
      </c>
      <c r="I282" s="121">
        <f t="shared" si="5"/>
        <v>0</v>
      </c>
    </row>
    <row r="283" spans="1:9" ht="25.5" outlineLevel="5">
      <c r="A283" s="53" t="str">
        <f>'Приложение 3'!A290</f>
        <v>Межбюджетные трансферты общего характера бюджетам бюджетной системы Российской Федерации</v>
      </c>
      <c r="B283" s="48" t="str">
        <f>'Приложение 3'!C290</f>
        <v>1400</v>
      </c>
      <c r="C283" s="48"/>
      <c r="D283" s="48"/>
      <c r="E283" s="48"/>
      <c r="F283" s="47">
        <f>'Приложение 3'!G290</f>
        <v>0</v>
      </c>
      <c r="G283" s="47">
        <f>'Приложение 3'!H290</f>
        <v>4638</v>
      </c>
      <c r="H283" s="47">
        <f>'Приложение 3'!I290</f>
        <v>1656.1</v>
      </c>
      <c r="I283" s="121">
        <f t="shared" si="5"/>
        <v>35.70720137990513</v>
      </c>
    </row>
    <row r="284" spans="1:9" ht="15.75" outlineLevel="5">
      <c r="A284" s="53" t="str">
        <f>'Приложение 3'!A291</f>
        <v>Прочие межбюджетные трансферты общего характера</v>
      </c>
      <c r="B284" s="48" t="str">
        <f>'Приложение 3'!C291</f>
        <v>1403</v>
      </c>
      <c r="C284" s="48"/>
      <c r="D284" s="48"/>
      <c r="E284" s="48"/>
      <c r="F284" s="47">
        <f>'Приложение 3'!G291</f>
        <v>0</v>
      </c>
      <c r="G284" s="47">
        <f>'Приложение 3'!H291</f>
        <v>4638</v>
      </c>
      <c r="H284" s="47">
        <f>'Приложение 3'!I291</f>
        <v>1656.1</v>
      </c>
      <c r="I284" s="121">
        <f t="shared" si="5"/>
        <v>35.70720137990513</v>
      </c>
    </row>
    <row r="285" spans="1:9" ht="30.75" customHeight="1" outlineLevel="5">
      <c r="A285" s="53" t="str">
        <f>'Приложение 3'!A292</f>
        <v>Непрограммные расходы органов местного самоуправления Алексеевского муниципального района</v>
      </c>
      <c r="B285" s="48" t="str">
        <f>'Приложение 3'!C292</f>
        <v>1403</v>
      </c>
      <c r="C285" s="48" t="str">
        <f>'Приложение 3'!D292</f>
        <v>99</v>
      </c>
      <c r="D285" s="48">
        <f>'Приложение 3'!E292</f>
        <v>0</v>
      </c>
      <c r="E285" s="48"/>
      <c r="F285" s="47">
        <f>'Приложение 3'!G292</f>
        <v>0</v>
      </c>
      <c r="G285" s="47">
        <f>'Приложение 3'!H292</f>
        <v>4638</v>
      </c>
      <c r="H285" s="47">
        <f>'Приложение 3'!I292</f>
        <v>1656.1</v>
      </c>
      <c r="I285" s="121">
        <f t="shared" si="5"/>
        <v>35.70720137990513</v>
      </c>
    </row>
    <row r="286" spans="1:9" ht="18.75" customHeight="1" outlineLevel="5">
      <c r="A286" s="53" t="str">
        <f>'Приложение 3'!A293</f>
        <v>Межбюджетные трансферты</v>
      </c>
      <c r="B286" s="48" t="str">
        <f>'Приложение 3'!C293</f>
        <v>1403</v>
      </c>
      <c r="C286" s="48" t="str">
        <f>'Приложение 3'!D293</f>
        <v>99</v>
      </c>
      <c r="D286" s="48">
        <f>'Приложение 3'!E293</f>
        <v>0</v>
      </c>
      <c r="E286" s="48">
        <f>'Приложение 3'!F293</f>
        <v>500</v>
      </c>
      <c r="F286" s="47">
        <f>'Приложение 3'!G293</f>
        <v>0</v>
      </c>
      <c r="G286" s="47">
        <f>'Приложение 3'!H293</f>
        <v>4638</v>
      </c>
      <c r="H286" s="47">
        <f>'Приложение 3'!I293</f>
        <v>1656.1</v>
      </c>
      <c r="I286" s="121">
        <f t="shared" si="5"/>
        <v>35.70720137990513</v>
      </c>
    </row>
    <row r="287" spans="1:9" ht="21.75" customHeight="1" outlineLevel="5">
      <c r="A287" s="53" t="str">
        <f>'Приложение 3'!A294</f>
        <v>Всего </v>
      </c>
      <c r="B287" s="48"/>
      <c r="C287" s="48"/>
      <c r="D287" s="48"/>
      <c r="E287" s="48"/>
      <c r="F287" s="47">
        <f>'Приложение 3'!G294</f>
        <v>7619.200000000001</v>
      </c>
      <c r="G287" s="47">
        <f>'Приложение 3'!H294</f>
        <v>283282.67497</v>
      </c>
      <c r="H287" s="47">
        <f>'Приложение 3'!I294</f>
        <v>145948.46228000004</v>
      </c>
      <c r="I287" s="121">
        <f t="shared" si="5"/>
        <v>51.52043353708665</v>
      </c>
    </row>
    <row r="288" spans="7:9" ht="12.75">
      <c r="G288" s="79"/>
      <c r="H288" s="79"/>
      <c r="I288" s="79"/>
    </row>
  </sheetData>
  <sheetProtection/>
  <mergeCells count="6">
    <mergeCell ref="A6:I6"/>
    <mergeCell ref="F5:I5"/>
    <mergeCell ref="C1:I1"/>
    <mergeCell ref="B2:I2"/>
    <mergeCell ref="A4:I4"/>
    <mergeCell ref="E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2"/>
  <sheetViews>
    <sheetView showGridLines="0" zoomScalePageLayoutView="0" workbookViewId="0" topLeftCell="A1">
      <pane ySplit="8" topLeftCell="BM60" activePane="bottomLeft" state="frozen"/>
      <selection pane="topLeft" activeCell="A1" sqref="A1"/>
      <selection pane="bottomLeft" activeCell="H66" sqref="H66"/>
    </sheetView>
  </sheetViews>
  <sheetFormatPr defaultColWidth="9.140625" defaultRowHeight="12.75" outlineLevelRow="5"/>
  <cols>
    <col min="1" max="1" width="45.140625" style="7" customWidth="1"/>
    <col min="2" max="2" width="8.00390625" style="12" customWidth="1"/>
    <col min="3" max="3" width="7.7109375" style="13" customWidth="1"/>
    <col min="4" max="4" width="9.28125" style="11" customWidth="1"/>
    <col min="5" max="5" width="9.8515625" style="15" bestFit="1" customWidth="1"/>
    <col min="6" max="7" width="13.140625" style="15" customWidth="1"/>
    <col min="8" max="8" width="13.421875" style="15" customWidth="1"/>
    <col min="9" max="9" width="12.28125" style="2" customWidth="1"/>
    <col min="10" max="10" width="12.7109375" style="2" customWidth="1"/>
    <col min="11" max="16384" width="9.140625" style="2" customWidth="1"/>
  </cols>
  <sheetData>
    <row r="1" spans="5:9" ht="18.75">
      <c r="E1" s="134" t="s">
        <v>173</v>
      </c>
      <c r="F1" s="134"/>
      <c r="G1" s="134"/>
      <c r="H1" s="134"/>
      <c r="I1" s="25"/>
    </row>
    <row r="2" spans="5:9" ht="18.75">
      <c r="E2" s="134" t="s">
        <v>170</v>
      </c>
      <c r="F2" s="134"/>
      <c r="G2" s="134"/>
      <c r="H2" s="134"/>
      <c r="I2" s="25"/>
    </row>
    <row r="3" spans="5:9" ht="18.75">
      <c r="E3" s="134" t="s">
        <v>171</v>
      </c>
      <c r="F3" s="134"/>
      <c r="G3" s="134"/>
      <c r="H3" s="134"/>
      <c r="I3" s="25"/>
    </row>
    <row r="4" spans="1:9" ht="21.75" customHeight="1">
      <c r="A4" s="8"/>
      <c r="B4" s="1"/>
      <c r="C4" s="5"/>
      <c r="D4" s="10"/>
      <c r="E4" s="134" t="s">
        <v>187</v>
      </c>
      <c r="F4" s="134"/>
      <c r="G4" s="134"/>
      <c r="H4" s="134"/>
      <c r="I4" s="25"/>
    </row>
    <row r="5" spans="1:8" ht="53.25" customHeight="1">
      <c r="A5" s="138" t="s">
        <v>237</v>
      </c>
      <c r="B5" s="138"/>
      <c r="C5" s="138"/>
      <c r="D5" s="138"/>
      <c r="E5" s="138"/>
      <c r="F5" s="138"/>
      <c r="G5" s="138"/>
      <c r="H5" s="138"/>
    </row>
    <row r="6" spans="1:8" ht="12.75" hidden="1">
      <c r="A6" s="41"/>
      <c r="B6" s="36"/>
      <c r="C6" s="37"/>
      <c r="D6" s="42"/>
      <c r="E6" s="38"/>
      <c r="F6" s="38"/>
      <c r="G6" s="38"/>
      <c r="H6" s="38"/>
    </row>
    <row r="7" spans="1:8" ht="12.75">
      <c r="A7" s="41"/>
      <c r="B7" s="36"/>
      <c r="C7" s="37"/>
      <c r="D7" s="42"/>
      <c r="E7" s="38"/>
      <c r="F7" s="38"/>
      <c r="G7" s="38"/>
      <c r="H7" s="49" t="s">
        <v>184</v>
      </c>
    </row>
    <row r="8" spans="1:8" ht="72.75" customHeight="1">
      <c r="A8" s="109" t="s">
        <v>1</v>
      </c>
      <c r="B8" s="110" t="s">
        <v>230</v>
      </c>
      <c r="C8" s="111" t="s">
        <v>9</v>
      </c>
      <c r="D8" s="100" t="s">
        <v>229</v>
      </c>
      <c r="E8" s="99" t="s">
        <v>275</v>
      </c>
      <c r="F8" s="99" t="s">
        <v>276</v>
      </c>
      <c r="G8" s="73" t="s">
        <v>324</v>
      </c>
      <c r="H8" s="73" t="s">
        <v>323</v>
      </c>
    </row>
    <row r="9" spans="1:8" ht="50.25" customHeight="1" outlineLevel="2">
      <c r="A9" s="83" t="str">
        <f>'Приложение 3'!A52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9" s="87" t="str">
        <f>'Приложение 3'!D52</f>
        <v>01</v>
      </c>
      <c r="C9" s="87">
        <f>'Приложение 3'!E52</f>
        <v>0</v>
      </c>
      <c r="D9" s="87" t="s">
        <v>231</v>
      </c>
      <c r="E9" s="85">
        <f>SUM('Приложение 3'!G52)</f>
        <v>0</v>
      </c>
      <c r="F9" s="85">
        <f>SUM('Приложение 3'!H52)</f>
        <v>50</v>
      </c>
      <c r="G9" s="85">
        <f>SUM('Приложение 3'!I52)</f>
        <v>5</v>
      </c>
      <c r="H9" s="85">
        <f aca="true" t="shared" si="0" ref="H9:H40">SUM(G9/F9)*100</f>
        <v>10</v>
      </c>
    </row>
    <row r="10" spans="1:8" ht="24.75" customHeight="1" outlineLevel="2">
      <c r="A10" s="50" t="s">
        <v>238</v>
      </c>
      <c r="B10" s="88" t="s">
        <v>2</v>
      </c>
      <c r="C10" s="88" t="s">
        <v>10</v>
      </c>
      <c r="D10" s="88" t="s">
        <v>2</v>
      </c>
      <c r="E10" s="86">
        <v>0</v>
      </c>
      <c r="F10" s="86">
        <v>50</v>
      </c>
      <c r="G10" s="86">
        <v>5</v>
      </c>
      <c r="H10" s="85">
        <f t="shared" si="0"/>
        <v>10</v>
      </c>
    </row>
    <row r="11" spans="1:8" ht="49.5" customHeight="1" outlineLevel="5">
      <c r="A11" s="84" t="str">
        <f>'Приложение 3'!A140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1" s="87" t="s">
        <v>6</v>
      </c>
      <c r="C11" s="89">
        <v>0</v>
      </c>
      <c r="D11" s="87" t="s">
        <v>231</v>
      </c>
      <c r="E11" s="85">
        <f>SUM(E12+E18+E14+E16)</f>
        <v>979.6</v>
      </c>
      <c r="F11" s="85">
        <f>SUM(F12+F18+F14+F16)</f>
        <v>8269.83332</v>
      </c>
      <c r="G11" s="85">
        <f>SUM(G12+G18+G14+G16)</f>
        <v>2528.3062800000002</v>
      </c>
      <c r="H11" s="85">
        <f t="shared" si="0"/>
        <v>30.572638917467327</v>
      </c>
    </row>
    <row r="12" spans="1:8" ht="54.75" customHeight="1" outlineLevel="5">
      <c r="A12" s="84" t="str">
        <f>'Приложение 3'!A141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7" t="s">
        <v>6</v>
      </c>
      <c r="C12" s="89">
        <v>1</v>
      </c>
      <c r="D12" s="87" t="s">
        <v>231</v>
      </c>
      <c r="E12" s="85">
        <f>SUM(E13)</f>
        <v>-0.25</v>
      </c>
      <c r="F12" s="85">
        <f>SUM(F13)</f>
        <v>5179.75</v>
      </c>
      <c r="G12" s="85">
        <f>SUM(G13)</f>
        <v>1748.0808</v>
      </c>
      <c r="H12" s="85">
        <f t="shared" si="0"/>
        <v>33.748362372701386</v>
      </c>
    </row>
    <row r="13" spans="1:8" ht="30" customHeight="1">
      <c r="A13" s="50" t="s">
        <v>255</v>
      </c>
      <c r="B13" s="88" t="s">
        <v>6</v>
      </c>
      <c r="C13" s="88" t="s">
        <v>234</v>
      </c>
      <c r="D13" s="88" t="s">
        <v>2</v>
      </c>
      <c r="E13" s="86">
        <f>SUM('Приложение 3'!G138+'Приложение 3'!G142+'Приложение 3'!G143)</f>
        <v>-0.25</v>
      </c>
      <c r="F13" s="86">
        <f>SUM('Приложение 3'!H138+'Приложение 3'!H142+'Приложение 3'!H143)</f>
        <v>5179.75</v>
      </c>
      <c r="G13" s="86">
        <f>SUM('Приложение 3'!I138+'Приложение 3'!I142+'Приложение 3'!I143)</f>
        <v>1748.0808</v>
      </c>
      <c r="H13" s="85">
        <f t="shared" si="0"/>
        <v>33.748362372701386</v>
      </c>
    </row>
    <row r="14" spans="1:8" ht="30" customHeight="1">
      <c r="A14" s="84" t="str">
        <f>'Приложение 3'!A144</f>
        <v>Подпрограмма «Газификация Алексеевского муниципального района»</v>
      </c>
      <c r="B14" s="87" t="s">
        <v>6</v>
      </c>
      <c r="C14" s="89">
        <v>2</v>
      </c>
      <c r="D14" s="87" t="s">
        <v>231</v>
      </c>
      <c r="E14" s="85">
        <f>SUM('Приложение 3'!G144)</f>
        <v>0.25</v>
      </c>
      <c r="F14" s="85">
        <f>SUM('Приложение 3'!H144)</f>
        <v>248.95</v>
      </c>
      <c r="G14" s="85">
        <f>SUM('Приложение 3'!I144)</f>
        <v>248.93348</v>
      </c>
      <c r="H14" s="85">
        <f t="shared" si="0"/>
        <v>99.99336412934325</v>
      </c>
    </row>
    <row r="15" spans="1:8" ht="30" customHeight="1">
      <c r="A15" s="50" t="s">
        <v>301</v>
      </c>
      <c r="B15" s="88" t="s">
        <v>6</v>
      </c>
      <c r="C15" s="88" t="s">
        <v>235</v>
      </c>
      <c r="D15" s="88" t="s">
        <v>2</v>
      </c>
      <c r="E15" s="86">
        <f>SUM('Приложение 3'!G144)</f>
        <v>0.25</v>
      </c>
      <c r="F15" s="86">
        <f>SUM('Приложение 3'!H144)</f>
        <v>248.95</v>
      </c>
      <c r="G15" s="86">
        <f>SUM('Приложение 3'!I144)</f>
        <v>248.93348</v>
      </c>
      <c r="H15" s="85">
        <f t="shared" si="0"/>
        <v>99.99336412934325</v>
      </c>
    </row>
    <row r="16" spans="1:8" ht="30" customHeight="1">
      <c r="A16" s="84" t="str">
        <f>'Приложение 3'!A147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6" s="87" t="s">
        <v>6</v>
      </c>
      <c r="C16" s="89">
        <v>3</v>
      </c>
      <c r="D16" s="87" t="s">
        <v>231</v>
      </c>
      <c r="E16" s="85">
        <f>SUM('Приложение 3'!G147+'Приложение 3'!G160+'Приложение 3'!G174)</f>
        <v>979.6</v>
      </c>
      <c r="F16" s="85">
        <f>SUM('Приложение 3'!H147+'Приложение 3'!H160+'Приложение 3'!H174)</f>
        <v>1141.13332</v>
      </c>
      <c r="G16" s="85">
        <f>SUM('Приложение 3'!I147+'Приложение 3'!I160+'Приложение 3'!I174)</f>
        <v>0</v>
      </c>
      <c r="H16" s="85">
        <f t="shared" si="0"/>
        <v>0</v>
      </c>
    </row>
    <row r="17" spans="1:8" ht="30" customHeight="1">
      <c r="A17" s="50" t="s">
        <v>302</v>
      </c>
      <c r="B17" s="88" t="s">
        <v>6</v>
      </c>
      <c r="C17" s="88" t="s">
        <v>236</v>
      </c>
      <c r="D17" s="88" t="s">
        <v>6</v>
      </c>
      <c r="E17" s="86">
        <f>SUM('Приложение 3'!G148+'Приложение 3'!G161+'Приложение 3'!G175)</f>
        <v>979.6</v>
      </c>
      <c r="F17" s="86">
        <f>SUM('Приложение 3'!H148+'Приложение 3'!H161+'Приложение 3'!H175)</f>
        <v>1141.13332</v>
      </c>
      <c r="G17" s="86">
        <f>SUM('Приложение 3'!I148+'Приложение 3'!I161+'Приложение 3'!I175)</f>
        <v>0</v>
      </c>
      <c r="H17" s="85">
        <f t="shared" si="0"/>
        <v>0</v>
      </c>
    </row>
    <row r="18" spans="1:8" ht="40.5" customHeight="1">
      <c r="A18" s="83" t="str">
        <f>'Приложение 3'!A67</f>
        <v>Подпрограмма "Энергосбережение и повышение энергетической эффективности Алексеевского муниципального района"</v>
      </c>
      <c r="B18" s="87" t="s">
        <v>6</v>
      </c>
      <c r="C18" s="87" t="s">
        <v>256</v>
      </c>
      <c r="D18" s="87" t="s">
        <v>231</v>
      </c>
      <c r="E18" s="85">
        <f>SUM(E19)</f>
        <v>0</v>
      </c>
      <c r="F18" s="85">
        <f>SUM(F19)</f>
        <v>1700</v>
      </c>
      <c r="G18" s="85">
        <f>SUM(G19)</f>
        <v>531.2919999999999</v>
      </c>
      <c r="H18" s="85">
        <f t="shared" si="0"/>
        <v>31.252470588235287</v>
      </c>
    </row>
    <row r="19" spans="1:8" ht="32.25" customHeight="1">
      <c r="A19" s="50" t="s">
        <v>257</v>
      </c>
      <c r="B19" s="88" t="s">
        <v>6</v>
      </c>
      <c r="C19" s="88" t="s">
        <v>256</v>
      </c>
      <c r="D19" s="88" t="s">
        <v>2</v>
      </c>
      <c r="E19" s="86">
        <f>SUM('Приложение 3'!G68+'Приложение 3'!G163+'Приложение 3'!G176)</f>
        <v>0</v>
      </c>
      <c r="F19" s="86">
        <f>SUM('Приложение 3'!H68+'Приложение 3'!H163+'Приложение 3'!H176)</f>
        <v>1700</v>
      </c>
      <c r="G19" s="86">
        <f>SUM('Приложение 3'!I68+'Приложение 3'!I163+'Приложение 3'!I176)</f>
        <v>531.2919999999999</v>
      </c>
      <c r="H19" s="85">
        <f t="shared" si="0"/>
        <v>31.252470588235287</v>
      </c>
    </row>
    <row r="20" spans="1:8" ht="56.25" customHeight="1">
      <c r="A20" s="84" t="str">
        <f>'Приложение 3'!A69</f>
        <v>Муниципальная программа "Развитие территориального общественного самоуправления Алексеевского муниципального района на 2016-2018 годы"</v>
      </c>
      <c r="B20" s="87" t="s">
        <v>13</v>
      </c>
      <c r="C20" s="87" t="s">
        <v>10</v>
      </c>
      <c r="D20" s="87" t="s">
        <v>231</v>
      </c>
      <c r="E20" s="85">
        <f>SUM('Приложение 3'!G69)</f>
        <v>3487.3</v>
      </c>
      <c r="F20" s="85">
        <f>SUM('Приложение 3'!H69)</f>
        <v>3507.3</v>
      </c>
      <c r="G20" s="85">
        <f>SUM('Приложение 3'!I69)</f>
        <v>0</v>
      </c>
      <c r="H20" s="85">
        <f t="shared" si="0"/>
        <v>0</v>
      </c>
    </row>
    <row r="21" spans="1:8" ht="52.5" customHeight="1">
      <c r="A21" s="50" t="s">
        <v>239</v>
      </c>
      <c r="B21" s="88" t="s">
        <v>13</v>
      </c>
      <c r="C21" s="88" t="s">
        <v>10</v>
      </c>
      <c r="D21" s="88" t="s">
        <v>2</v>
      </c>
      <c r="E21" s="86">
        <f>SUM('Приложение 3'!G70:G72)</f>
        <v>3487.3</v>
      </c>
      <c r="F21" s="86">
        <f>SUM('Приложение 3'!H70:H72)</f>
        <v>3507.3</v>
      </c>
      <c r="G21" s="86">
        <f>SUM('Приложение 3'!I70:I72)</f>
        <v>0</v>
      </c>
      <c r="H21" s="85">
        <f t="shared" si="0"/>
        <v>0</v>
      </c>
    </row>
    <row r="22" spans="1:8" ht="42.75" customHeight="1">
      <c r="A22" s="84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2016-2018 годы "</v>
      </c>
      <c r="B22" s="87" t="s">
        <v>14</v>
      </c>
      <c r="C22" s="87" t="s">
        <v>10</v>
      </c>
      <c r="D22" s="87" t="s">
        <v>231</v>
      </c>
      <c r="E22" s="85">
        <f>SUM('Приложение 3'!G122)</f>
        <v>0</v>
      </c>
      <c r="F22" s="85">
        <f>SUM('Приложение 3'!H122)</f>
        <v>300</v>
      </c>
      <c r="G22" s="85">
        <f>SUM('Приложение 3'!I122)</f>
        <v>76.494</v>
      </c>
      <c r="H22" s="85">
        <f t="shared" si="0"/>
        <v>25.497999999999998</v>
      </c>
    </row>
    <row r="23" spans="1:8" ht="45" customHeight="1">
      <c r="A23" s="50" t="s">
        <v>258</v>
      </c>
      <c r="B23" s="88" t="s">
        <v>14</v>
      </c>
      <c r="C23" s="88" t="s">
        <v>10</v>
      </c>
      <c r="D23" s="88" t="s">
        <v>2</v>
      </c>
      <c r="E23" s="86">
        <f>SUM('Приложение 3'!G123)</f>
        <v>0</v>
      </c>
      <c r="F23" s="86">
        <f>SUM('Приложение 3'!H123)</f>
        <v>50</v>
      </c>
      <c r="G23" s="86">
        <f>SUM('Приложение 3'!I123)</f>
        <v>26.494</v>
      </c>
      <c r="H23" s="85">
        <f t="shared" si="0"/>
        <v>52.988</v>
      </c>
    </row>
    <row r="24" spans="1:8" ht="43.5" customHeight="1">
      <c r="A24" s="50" t="s">
        <v>259</v>
      </c>
      <c r="B24" s="88" t="s">
        <v>14</v>
      </c>
      <c r="C24" s="88" t="s">
        <v>10</v>
      </c>
      <c r="D24" s="88" t="s">
        <v>6</v>
      </c>
      <c r="E24" s="86">
        <f>SUM('Приложение 3'!G125)</f>
        <v>0</v>
      </c>
      <c r="F24" s="86">
        <f>SUM('Приложение 3'!H125)</f>
        <v>200</v>
      </c>
      <c r="G24" s="86">
        <f>SUM('Приложение 3'!I125)</f>
        <v>0</v>
      </c>
      <c r="H24" s="85">
        <f t="shared" si="0"/>
        <v>0</v>
      </c>
    </row>
    <row r="25" spans="1:8" ht="55.5" customHeight="1">
      <c r="A25" s="50" t="s">
        <v>279</v>
      </c>
      <c r="B25" s="88" t="s">
        <v>14</v>
      </c>
      <c r="C25" s="88" t="s">
        <v>10</v>
      </c>
      <c r="D25" s="88" t="s">
        <v>13</v>
      </c>
      <c r="E25" s="86">
        <f>SUM('Приложение 3'!G124)</f>
        <v>0</v>
      </c>
      <c r="F25" s="86">
        <f>SUM('Приложение 3'!H124)</f>
        <v>50</v>
      </c>
      <c r="G25" s="86">
        <f>SUM('Приложение 3'!I124)</f>
        <v>50</v>
      </c>
      <c r="H25" s="85">
        <f t="shared" si="0"/>
        <v>100</v>
      </c>
    </row>
    <row r="26" spans="1:8" ht="39.75" customHeight="1">
      <c r="A26" s="84" t="str">
        <f>'Приложение 3'!A155</f>
        <v>Муниципальная программа  «Охрана окружающей среды Алексеевского муниципального района на 2016-2018 годы»</v>
      </c>
      <c r="B26" s="87" t="s">
        <v>16</v>
      </c>
      <c r="C26" s="87" t="s">
        <v>10</v>
      </c>
      <c r="D26" s="87" t="s">
        <v>231</v>
      </c>
      <c r="E26" s="85">
        <f>SUM('Приложение 3'!G155)</f>
        <v>0</v>
      </c>
      <c r="F26" s="85">
        <f>SUM('Приложение 3'!H155)</f>
        <v>50</v>
      </c>
      <c r="G26" s="85">
        <f>SUM('Приложение 3'!I155)</f>
        <v>0</v>
      </c>
      <c r="H26" s="85">
        <f t="shared" si="0"/>
        <v>0</v>
      </c>
    </row>
    <row r="27" spans="1:8" ht="38.25" customHeight="1">
      <c r="A27" s="50" t="s">
        <v>260</v>
      </c>
      <c r="B27" s="88" t="s">
        <v>16</v>
      </c>
      <c r="C27" s="88" t="s">
        <v>10</v>
      </c>
      <c r="D27" s="88" t="s">
        <v>2</v>
      </c>
      <c r="E27" s="86">
        <f>SUM('Приложение 3'!G156)</f>
        <v>0</v>
      </c>
      <c r="F27" s="86">
        <f>SUM('Приложение 3'!H156)</f>
        <v>50</v>
      </c>
      <c r="G27" s="86">
        <f>SUM('Приложение 3'!I156)</f>
        <v>0</v>
      </c>
      <c r="H27" s="85">
        <f t="shared" si="0"/>
        <v>0</v>
      </c>
    </row>
    <row r="28" spans="1:8" ht="76.5" customHeight="1">
      <c r="A28" s="84" t="str">
        <f>'Приложение 3'!A210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8" s="87" t="s">
        <v>30</v>
      </c>
      <c r="C28" s="87" t="s">
        <v>10</v>
      </c>
      <c r="D28" s="87" t="s">
        <v>231</v>
      </c>
      <c r="E28" s="85">
        <f>SUM('Приложение 3'!G210)</f>
        <v>0</v>
      </c>
      <c r="F28" s="85">
        <f>SUM('Приложение 3'!H210)</f>
        <v>300</v>
      </c>
      <c r="G28" s="85">
        <f>SUM('Приложение 3'!I210)</f>
        <v>97.27579</v>
      </c>
      <c r="H28" s="85">
        <f t="shared" si="0"/>
        <v>32.42526333333333</v>
      </c>
    </row>
    <row r="29" spans="1:8" ht="27.75" customHeight="1">
      <c r="A29" s="84" t="str">
        <f>'Приложение 3'!A211</f>
        <v>Подпрограмма "Комплексные меры по противодействию наркомании"</v>
      </c>
      <c r="B29" s="87" t="s">
        <v>30</v>
      </c>
      <c r="C29" s="87" t="s">
        <v>234</v>
      </c>
      <c r="D29" s="87" t="s">
        <v>231</v>
      </c>
      <c r="E29" s="85">
        <f>SUM('Приложение 3'!G211)</f>
        <v>0</v>
      </c>
      <c r="F29" s="85">
        <f>SUM('Приложение 3'!H211)</f>
        <v>50</v>
      </c>
      <c r="G29" s="85">
        <f>SUM('Приложение 3'!I211)</f>
        <v>20.5625</v>
      </c>
      <c r="H29" s="85">
        <f t="shared" si="0"/>
        <v>41.125</v>
      </c>
    </row>
    <row r="30" spans="1:8" ht="42" customHeight="1">
      <c r="A30" s="50" t="s">
        <v>261</v>
      </c>
      <c r="B30" s="88" t="s">
        <v>30</v>
      </c>
      <c r="C30" s="88" t="s">
        <v>234</v>
      </c>
      <c r="D30" s="88" t="s">
        <v>2</v>
      </c>
      <c r="E30" s="86">
        <f>SUM('Приложение 3'!G212)</f>
        <v>0</v>
      </c>
      <c r="F30" s="86">
        <f>SUM('Приложение 3'!H212)</f>
        <v>50</v>
      </c>
      <c r="G30" s="86">
        <f>SUM('Приложение 3'!I212)</f>
        <v>20.5625</v>
      </c>
      <c r="H30" s="85">
        <f t="shared" si="0"/>
        <v>41.125</v>
      </c>
    </row>
    <row r="31" spans="1:8" ht="29.25" customHeight="1" outlineLevel="1">
      <c r="A31" s="84" t="str">
        <f>'Приложение 3'!A213</f>
        <v>Подпрограмма "Реализация мероприятий молодежной политики и социальной адаптации молодежи "</v>
      </c>
      <c r="B31" s="87" t="s">
        <v>30</v>
      </c>
      <c r="C31" s="87" t="s">
        <v>235</v>
      </c>
      <c r="D31" s="87" t="s">
        <v>231</v>
      </c>
      <c r="E31" s="85">
        <f>SUM('Приложение 3'!G213)</f>
        <v>0</v>
      </c>
      <c r="F31" s="85">
        <f>SUM('Приложение 3'!H213)</f>
        <v>200</v>
      </c>
      <c r="G31" s="85">
        <f>SUM('Приложение 3'!I213)</f>
        <v>66.71329</v>
      </c>
      <c r="H31" s="85">
        <f t="shared" si="0"/>
        <v>33.356645</v>
      </c>
    </row>
    <row r="32" spans="1:8" ht="30" customHeight="1" outlineLevel="5">
      <c r="A32" s="50" t="s">
        <v>262</v>
      </c>
      <c r="B32" s="88" t="s">
        <v>30</v>
      </c>
      <c r="C32" s="88" t="s">
        <v>235</v>
      </c>
      <c r="D32" s="88" t="s">
        <v>2</v>
      </c>
      <c r="E32" s="86">
        <f>SUM('Приложение 3'!G214)</f>
        <v>0</v>
      </c>
      <c r="F32" s="86">
        <f>SUM('Приложение 3'!H214)</f>
        <v>200</v>
      </c>
      <c r="G32" s="86">
        <f>SUM('Приложение 3'!I214)</f>
        <v>66.71329</v>
      </c>
      <c r="H32" s="85">
        <f t="shared" si="0"/>
        <v>33.356645</v>
      </c>
    </row>
    <row r="33" spans="1:8" ht="42.75" customHeight="1" outlineLevel="5">
      <c r="A33" s="84" t="str">
        <f>'Приложение 3'!A215</f>
        <v>Подпрограмма " Профилактика безнадзорности , правонарушений и неблагополучия несовершеннолетних"</v>
      </c>
      <c r="B33" s="87" t="s">
        <v>30</v>
      </c>
      <c r="C33" s="87" t="s">
        <v>236</v>
      </c>
      <c r="D33" s="87" t="s">
        <v>231</v>
      </c>
      <c r="E33" s="85">
        <f>SUM('Приложение 3'!G215)</f>
        <v>0</v>
      </c>
      <c r="F33" s="85">
        <f>SUM('Приложение 3'!H215)</f>
        <v>50</v>
      </c>
      <c r="G33" s="85">
        <f>SUM('Приложение 3'!I215)</f>
        <v>10</v>
      </c>
      <c r="H33" s="85">
        <f t="shared" si="0"/>
        <v>20</v>
      </c>
    </row>
    <row r="34" spans="1:8" s="17" customFormat="1" ht="39.75" customHeight="1" outlineLevel="2">
      <c r="A34" s="50" t="s">
        <v>263</v>
      </c>
      <c r="B34" s="88" t="s">
        <v>30</v>
      </c>
      <c r="C34" s="90">
        <v>3</v>
      </c>
      <c r="D34" s="88" t="s">
        <v>2</v>
      </c>
      <c r="E34" s="86">
        <v>0</v>
      </c>
      <c r="F34" s="86">
        <f>SUM('Приложение 3'!H216)</f>
        <v>50</v>
      </c>
      <c r="G34" s="86">
        <f>SUM('Приложение 3'!I216)</f>
        <v>10</v>
      </c>
      <c r="H34" s="85">
        <f t="shared" si="0"/>
        <v>20</v>
      </c>
    </row>
    <row r="35" spans="1:8" s="17" customFormat="1" ht="93.75" customHeight="1" outlineLevel="2">
      <c r="A35" s="66" t="str">
        <f>'Приложение 3'!A229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35" s="92" t="s">
        <v>312</v>
      </c>
      <c r="C35" s="92" t="s">
        <v>10</v>
      </c>
      <c r="D35" s="92" t="s">
        <v>231</v>
      </c>
      <c r="E35" s="77">
        <f>SUM('Приложение 3'!G229)</f>
        <v>160</v>
      </c>
      <c r="F35" s="77">
        <f>SUM('Приложение 3'!H229)</f>
        <v>160</v>
      </c>
      <c r="G35" s="77">
        <f>SUM('Приложение 3'!I229)</f>
        <v>0</v>
      </c>
      <c r="H35" s="85">
        <f t="shared" si="0"/>
        <v>0</v>
      </c>
    </row>
    <row r="36" spans="1:8" s="17" customFormat="1" ht="65.25" customHeight="1" outlineLevel="2">
      <c r="A36" s="120" t="s">
        <v>315</v>
      </c>
      <c r="B36" s="95" t="s">
        <v>312</v>
      </c>
      <c r="C36" s="96">
        <v>0</v>
      </c>
      <c r="D36" s="95" t="s">
        <v>2</v>
      </c>
      <c r="E36" s="78">
        <f>SUM('Приложение 3'!G230)</f>
        <v>160</v>
      </c>
      <c r="F36" s="78">
        <f>SUM('Приложение 3'!H230)</f>
        <v>160</v>
      </c>
      <c r="G36" s="78">
        <f>SUM('Приложение 3'!I230)</f>
        <v>0</v>
      </c>
      <c r="H36" s="85">
        <f t="shared" si="0"/>
        <v>0</v>
      </c>
    </row>
    <row r="37" spans="1:8" s="17" customFormat="1" ht="45.75" customHeight="1" outlineLevel="2">
      <c r="A37" s="84" t="str">
        <f>'Приложение 3'!A217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37" s="87" t="s">
        <v>7</v>
      </c>
      <c r="C37" s="87" t="s">
        <v>10</v>
      </c>
      <c r="D37" s="87" t="s">
        <v>231</v>
      </c>
      <c r="E37" s="85">
        <f>SUM('Приложение 3'!G217)</f>
        <v>198.223</v>
      </c>
      <c r="F37" s="85">
        <f>SUM('Приложение 3'!H217)</f>
        <v>398.223</v>
      </c>
      <c r="G37" s="85">
        <f>SUM('Приложение 3'!I217)</f>
        <v>398.223</v>
      </c>
      <c r="H37" s="85">
        <f t="shared" si="0"/>
        <v>100</v>
      </c>
    </row>
    <row r="38" spans="1:8" ht="42" customHeight="1" outlineLevel="3">
      <c r="A38" s="50" t="s">
        <v>291</v>
      </c>
      <c r="B38" s="88" t="s">
        <v>7</v>
      </c>
      <c r="C38" s="88" t="s">
        <v>10</v>
      </c>
      <c r="D38" s="88" t="s">
        <v>2</v>
      </c>
      <c r="E38" s="86">
        <f>SUM('Приложение 3'!G218)</f>
        <v>198.223</v>
      </c>
      <c r="F38" s="86">
        <f>SUM('Приложение 3'!H218)</f>
        <v>398.223</v>
      </c>
      <c r="G38" s="86">
        <f>SUM('Приложение 3'!I218)</f>
        <v>398.223</v>
      </c>
      <c r="H38" s="85">
        <f t="shared" si="0"/>
        <v>100</v>
      </c>
    </row>
    <row r="39" spans="1:8" ht="42.75" customHeight="1">
      <c r="A39" s="84" t="str">
        <f>'Приложение 3'!A236</f>
        <v>Муниципальная программа  «Развитие народных художественных промыслов Алексеевского  муниципального района на 2016-2018 годы»</v>
      </c>
      <c r="B39" s="87" t="s">
        <v>5</v>
      </c>
      <c r="C39" s="87" t="s">
        <v>10</v>
      </c>
      <c r="D39" s="87" t="s">
        <v>231</v>
      </c>
      <c r="E39" s="85">
        <f>SUM('Приложение 3'!G236)</f>
        <v>0</v>
      </c>
      <c r="F39" s="85">
        <f>SUM('Приложение 3'!H236)</f>
        <v>100</v>
      </c>
      <c r="G39" s="85">
        <f>SUM('Приложение 3'!I236)</f>
        <v>11</v>
      </c>
      <c r="H39" s="85">
        <f t="shared" si="0"/>
        <v>11</v>
      </c>
    </row>
    <row r="40" spans="1:8" ht="54.75" customHeight="1">
      <c r="A40" s="50" t="s">
        <v>264</v>
      </c>
      <c r="B40" s="88" t="s">
        <v>5</v>
      </c>
      <c r="C40" s="88" t="s">
        <v>10</v>
      </c>
      <c r="D40" s="88" t="s">
        <v>2</v>
      </c>
      <c r="E40" s="86">
        <f>SUM('Приложение 3'!G237)</f>
        <v>0</v>
      </c>
      <c r="F40" s="86">
        <f>SUM('Приложение 3'!H237)</f>
        <v>100</v>
      </c>
      <c r="G40" s="86">
        <f>SUM('Приложение 3'!I237)</f>
        <v>11</v>
      </c>
      <c r="H40" s="85">
        <f t="shared" si="0"/>
        <v>11</v>
      </c>
    </row>
    <row r="41" spans="1:8" ht="42.75" customHeight="1">
      <c r="A41" s="84" t="str">
        <f>'Приложение 3'!A238</f>
        <v>Муниципальная программа "О поддержке деятельности казачьих обществ  Алексеевского муниципального района на 2016-2018 годы"</v>
      </c>
      <c r="B41" s="88" t="s">
        <v>4</v>
      </c>
      <c r="C41" s="88" t="s">
        <v>10</v>
      </c>
      <c r="D41" s="88" t="s">
        <v>231</v>
      </c>
      <c r="E41" s="85">
        <f>SUM('Приложение 3'!G238)</f>
        <v>0</v>
      </c>
      <c r="F41" s="85">
        <f>SUM('Приложение 3'!H238)</f>
        <v>200</v>
      </c>
      <c r="G41" s="85">
        <f>SUM('Приложение 3'!I238)</f>
        <v>46.9266</v>
      </c>
      <c r="H41" s="85">
        <f aca="true" t="shared" si="1" ref="H41:H63">SUM(G41/F41)*100</f>
        <v>23.4633</v>
      </c>
    </row>
    <row r="42" spans="1:8" ht="35.25" customHeight="1">
      <c r="A42" s="50" t="s">
        <v>265</v>
      </c>
      <c r="B42" s="88" t="s">
        <v>4</v>
      </c>
      <c r="C42" s="88">
        <f>'Приложение 3'!E279</f>
        <v>0</v>
      </c>
      <c r="D42" s="88" t="s">
        <v>2</v>
      </c>
      <c r="E42" s="86">
        <f>SUM('Приложение 3'!G239)</f>
        <v>0</v>
      </c>
      <c r="F42" s="86">
        <f>SUM('Приложение 3'!H239)</f>
        <v>200</v>
      </c>
      <c r="G42" s="86">
        <f>SUM('Приложение 3'!I239)</f>
        <v>46.9266</v>
      </c>
      <c r="H42" s="85">
        <f t="shared" si="1"/>
        <v>23.4633</v>
      </c>
    </row>
    <row r="43" spans="1:8" ht="82.5" customHeight="1">
      <c r="A43" s="84" t="str">
        <f>'Приложение 3'!A259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43" s="87" t="s">
        <v>8</v>
      </c>
      <c r="C43" s="87">
        <f>'Приложение 3'!E119</f>
        <v>0</v>
      </c>
      <c r="D43" s="87" t="s">
        <v>231</v>
      </c>
      <c r="E43" s="85">
        <f>SUM('Приложение 3'!G259)</f>
        <v>0</v>
      </c>
      <c r="F43" s="85">
        <f>SUM('Приложение 3'!H259)</f>
        <v>495</v>
      </c>
      <c r="G43" s="85">
        <f>SUM('Приложение 3'!I259)</f>
        <v>185.919</v>
      </c>
      <c r="H43" s="85">
        <f t="shared" si="1"/>
        <v>37.55939393939394</v>
      </c>
    </row>
    <row r="44" spans="1:8" ht="90" customHeight="1">
      <c r="A44" s="50" t="s">
        <v>266</v>
      </c>
      <c r="B44" s="88" t="s">
        <v>8</v>
      </c>
      <c r="C44" s="88" t="s">
        <v>10</v>
      </c>
      <c r="D44" s="88" t="s">
        <v>2</v>
      </c>
      <c r="E44" s="86">
        <f>SUM('Приложение 3'!G260)</f>
        <v>0</v>
      </c>
      <c r="F44" s="86">
        <f>SUM('Приложение 3'!H260)</f>
        <v>495</v>
      </c>
      <c r="G44" s="86">
        <f>SUM('Приложение 3'!I260)</f>
        <v>185.919</v>
      </c>
      <c r="H44" s="85">
        <f t="shared" si="1"/>
        <v>37.55939393939394</v>
      </c>
    </row>
    <row r="45" spans="1:8" ht="29.25" customHeight="1">
      <c r="A45" s="84" t="str">
        <f>'Приложение 3'!A73</f>
        <v>Муниципальная программа "Маршрут Победы на 2016-2018 годы"</v>
      </c>
      <c r="B45" s="87" t="s">
        <v>11</v>
      </c>
      <c r="C45" s="87" t="s">
        <v>10</v>
      </c>
      <c r="D45" s="87" t="s">
        <v>231</v>
      </c>
      <c r="E45" s="85">
        <f>SUM('Приложение 3'!G73)</f>
        <v>0</v>
      </c>
      <c r="F45" s="85">
        <f>SUM('Приложение 3'!H73)</f>
        <v>50</v>
      </c>
      <c r="G45" s="85">
        <f>SUM('Приложение 3'!I73)</f>
        <v>47.44</v>
      </c>
      <c r="H45" s="85">
        <f t="shared" si="1"/>
        <v>94.88</v>
      </c>
    </row>
    <row r="46" spans="1:8" ht="40.5" customHeight="1">
      <c r="A46" s="50" t="s">
        <v>306</v>
      </c>
      <c r="B46" s="88" t="s">
        <v>11</v>
      </c>
      <c r="C46" s="88" t="s">
        <v>10</v>
      </c>
      <c r="D46" s="88" t="s">
        <v>2</v>
      </c>
      <c r="E46" s="86">
        <f>SUM('Приложение 3'!G74)</f>
        <v>0</v>
      </c>
      <c r="F46" s="86">
        <f>SUM('Приложение 3'!H74)</f>
        <v>50</v>
      </c>
      <c r="G46" s="86">
        <f>SUM('Приложение 3'!I74)</f>
        <v>47.44</v>
      </c>
      <c r="H46" s="85">
        <f t="shared" si="1"/>
        <v>94.88</v>
      </c>
    </row>
    <row r="47" spans="1:8" ht="57.75" customHeight="1">
      <c r="A47" s="83" t="str">
        <f>'Приложение 3'!A179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47" s="87" t="s">
        <v>20</v>
      </c>
      <c r="C47" s="87" t="s">
        <v>10</v>
      </c>
      <c r="D47" s="87" t="s">
        <v>231</v>
      </c>
      <c r="E47" s="85">
        <f>SUM('Приложение 3'!G179)</f>
        <v>0</v>
      </c>
      <c r="F47" s="85">
        <f>SUM('Приложение 3'!H179)</f>
        <v>100</v>
      </c>
      <c r="G47" s="85">
        <f>SUM('Приложение 3'!I179)</f>
        <v>0</v>
      </c>
      <c r="H47" s="85">
        <f t="shared" si="1"/>
        <v>0</v>
      </c>
    </row>
    <row r="48" spans="1:8" ht="33.75" customHeight="1">
      <c r="A48" s="50" t="s">
        <v>267</v>
      </c>
      <c r="B48" s="88" t="s">
        <v>20</v>
      </c>
      <c r="C48" s="88" t="s">
        <v>10</v>
      </c>
      <c r="D48" s="88" t="s">
        <v>2</v>
      </c>
      <c r="E48" s="86">
        <f>SUM('Приложение 3'!G180)</f>
        <v>0</v>
      </c>
      <c r="F48" s="86">
        <f>SUM('Приложение 3'!H180)</f>
        <v>100</v>
      </c>
      <c r="G48" s="86">
        <f>SUM('Приложение 3'!I180)</f>
        <v>0</v>
      </c>
      <c r="H48" s="85">
        <f t="shared" si="1"/>
        <v>0</v>
      </c>
    </row>
    <row r="49" spans="1:8" ht="46.5" customHeight="1">
      <c r="A49" s="83" t="str">
        <f>'Приложение 3'!A278</f>
        <v>Муниципальная программа "Развитие физической культуры и спорта в Алексеевском муниципальном районе на 2016-2018 годы"</v>
      </c>
      <c r="B49" s="87" t="s">
        <v>21</v>
      </c>
      <c r="C49" s="87" t="s">
        <v>10</v>
      </c>
      <c r="D49" s="87" t="s">
        <v>231</v>
      </c>
      <c r="E49" s="85">
        <f>SUM(E50:E51)</f>
        <v>1731.5</v>
      </c>
      <c r="F49" s="85">
        <f>SUM(F50:F51)</f>
        <v>2491.5</v>
      </c>
      <c r="G49" s="85">
        <f>SUM(G50:G51)</f>
        <v>536.18477</v>
      </c>
      <c r="H49" s="85">
        <f t="shared" si="1"/>
        <v>21.520560706401763</v>
      </c>
    </row>
    <row r="50" spans="1:8" ht="67.5" customHeight="1">
      <c r="A50" s="50" t="s">
        <v>268</v>
      </c>
      <c r="B50" s="88" t="s">
        <v>21</v>
      </c>
      <c r="C50" s="88" t="s">
        <v>10</v>
      </c>
      <c r="D50" s="88" t="s">
        <v>2</v>
      </c>
      <c r="E50" s="86">
        <f>SUM('Приложение 3'!G279)</f>
        <v>0</v>
      </c>
      <c r="F50" s="86">
        <f>SUM('Приложение 3'!H279)</f>
        <v>760</v>
      </c>
      <c r="G50" s="86">
        <f>SUM('Приложение 3'!I279)</f>
        <v>536.18477</v>
      </c>
      <c r="H50" s="85">
        <f t="shared" si="1"/>
        <v>70.55062763157895</v>
      </c>
    </row>
    <row r="51" spans="1:8" ht="43.5" customHeight="1">
      <c r="A51" s="50" t="s">
        <v>321</v>
      </c>
      <c r="B51" s="88" t="s">
        <v>21</v>
      </c>
      <c r="C51" s="88" t="s">
        <v>10</v>
      </c>
      <c r="D51" s="88" t="s">
        <v>6</v>
      </c>
      <c r="E51" s="86">
        <f>SUM('Приложение 3'!G181)</f>
        <v>1731.5</v>
      </c>
      <c r="F51" s="86">
        <f>SUM('Приложение 3'!H181)</f>
        <v>1731.5</v>
      </c>
      <c r="G51" s="86">
        <f>SUM('Приложение 3'!I181)</f>
        <v>0</v>
      </c>
      <c r="H51" s="85">
        <f t="shared" si="1"/>
        <v>0</v>
      </c>
    </row>
    <row r="52" spans="1:8" ht="55.5" customHeight="1">
      <c r="A52" s="83" t="str">
        <f>'Приложение 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v>
      </c>
      <c r="B52" s="87" t="s">
        <v>181</v>
      </c>
      <c r="C52" s="87" t="s">
        <v>10</v>
      </c>
      <c r="D52" s="87" t="s">
        <v>231</v>
      </c>
      <c r="E52" s="85">
        <f>SUM('Приложение 3'!G118)</f>
        <v>0</v>
      </c>
      <c r="F52" s="85">
        <f>SUM('Приложение 3'!H118)</f>
        <v>10625.03781</v>
      </c>
      <c r="G52" s="85">
        <f>SUM('Приложение 3'!I118)</f>
        <v>0</v>
      </c>
      <c r="H52" s="85">
        <f t="shared" si="1"/>
        <v>0</v>
      </c>
    </row>
    <row r="53" spans="1:8" ht="54" customHeight="1">
      <c r="A53" s="50" t="s">
        <v>269</v>
      </c>
      <c r="B53" s="88" t="s">
        <v>181</v>
      </c>
      <c r="C53" s="88" t="s">
        <v>10</v>
      </c>
      <c r="D53" s="88" t="s">
        <v>2</v>
      </c>
      <c r="E53" s="86">
        <f>SUM('Приложение 3'!G118)</f>
        <v>0</v>
      </c>
      <c r="F53" s="86">
        <f>SUM('Приложение 3'!H118)</f>
        <v>10625.03781</v>
      </c>
      <c r="G53" s="86">
        <f>SUM('Приложение 3'!I118)</f>
        <v>0</v>
      </c>
      <c r="H53" s="85">
        <f t="shared" si="1"/>
        <v>0</v>
      </c>
    </row>
    <row r="54" spans="1:8" ht="48.75" customHeight="1">
      <c r="A54" s="83" t="str">
        <f>'Приложение 3'!A126</f>
        <v>Муниципальная программа "Поддержка социально ориентированных некоммерческих организаций  Алексеевского муниципального района на 2014-2016 годы "</v>
      </c>
      <c r="B54" s="87" t="s">
        <v>182</v>
      </c>
      <c r="C54" s="87" t="s">
        <v>10</v>
      </c>
      <c r="D54" s="87" t="s">
        <v>231</v>
      </c>
      <c r="E54" s="85">
        <f>SUM('Приложение 3'!G126)</f>
        <v>0</v>
      </c>
      <c r="F54" s="85">
        <f>SUM('Приложение 3'!H126)</f>
        <v>100</v>
      </c>
      <c r="G54" s="85">
        <f>SUM('Приложение 3'!I126)</f>
        <v>0</v>
      </c>
      <c r="H54" s="85">
        <f t="shared" si="1"/>
        <v>0</v>
      </c>
    </row>
    <row r="55" spans="1:8" ht="38.25" customHeight="1">
      <c r="A55" s="50" t="s">
        <v>270</v>
      </c>
      <c r="B55" s="88" t="s">
        <v>182</v>
      </c>
      <c r="C55" s="88" t="s">
        <v>10</v>
      </c>
      <c r="D55" s="88" t="s">
        <v>2</v>
      </c>
      <c r="E55" s="86">
        <f>SUM('Приложение 3'!G127)</f>
        <v>0</v>
      </c>
      <c r="F55" s="86">
        <f>SUM('Приложение 3'!H127)</f>
        <v>100</v>
      </c>
      <c r="G55" s="86">
        <f>SUM('Приложение 3'!I127)</f>
        <v>0</v>
      </c>
      <c r="H55" s="85">
        <f t="shared" si="1"/>
        <v>0</v>
      </c>
    </row>
    <row r="56" spans="1:8" ht="54" customHeight="1">
      <c r="A56" s="83" t="str">
        <f>'Приложение 3'!A75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56" s="87" t="s">
        <v>185</v>
      </c>
      <c r="C56" s="87" t="s">
        <v>10</v>
      </c>
      <c r="D56" s="87" t="s">
        <v>231</v>
      </c>
      <c r="E56" s="85">
        <f>SUM('Приложение 3'!G75)</f>
        <v>0</v>
      </c>
      <c r="F56" s="85">
        <f>SUM('Приложение 3'!H75)</f>
        <v>100</v>
      </c>
      <c r="G56" s="85">
        <f>SUM('Приложение 3'!I75)</f>
        <v>0</v>
      </c>
      <c r="H56" s="85">
        <f t="shared" si="1"/>
        <v>0</v>
      </c>
    </row>
    <row r="57" spans="1:8" ht="72" customHeight="1">
      <c r="A57" s="50" t="s">
        <v>271</v>
      </c>
      <c r="B57" s="88" t="s">
        <v>185</v>
      </c>
      <c r="C57" s="88" t="s">
        <v>10</v>
      </c>
      <c r="D57" s="88" t="s">
        <v>2</v>
      </c>
      <c r="E57" s="86">
        <f>SUM('Приложение 3'!G76)</f>
        <v>0</v>
      </c>
      <c r="F57" s="86">
        <f>SUM('Приложение 3'!H76)</f>
        <v>100</v>
      </c>
      <c r="G57" s="86">
        <f>SUM('Приложение 3'!I76)</f>
        <v>0</v>
      </c>
      <c r="H57" s="85">
        <f t="shared" si="1"/>
        <v>0</v>
      </c>
    </row>
    <row r="58" spans="1:8" ht="41.25" customHeight="1">
      <c r="A58" s="83" t="str">
        <f>'Приложение 3'!A77</f>
        <v>Муниципальная программа «Улучшение условий и охраны труда в Алексеевском муниципальном районе на 2014-2016 годы"</v>
      </c>
      <c r="B58" s="87" t="s">
        <v>186</v>
      </c>
      <c r="C58" s="87" t="s">
        <v>10</v>
      </c>
      <c r="D58" s="87" t="s">
        <v>231</v>
      </c>
      <c r="E58" s="85">
        <f>SUM('Приложение 3'!G77)</f>
        <v>0</v>
      </c>
      <c r="F58" s="85">
        <f>SUM('Приложение 3'!H77)</f>
        <v>20</v>
      </c>
      <c r="G58" s="85">
        <f>SUM('Приложение 3'!I77)</f>
        <v>0</v>
      </c>
      <c r="H58" s="85">
        <f t="shared" si="1"/>
        <v>0</v>
      </c>
    </row>
    <row r="59" spans="1:8" ht="67.5" customHeight="1">
      <c r="A59" s="50" t="s">
        <v>272</v>
      </c>
      <c r="B59" s="88" t="s">
        <v>186</v>
      </c>
      <c r="C59" s="88" t="s">
        <v>10</v>
      </c>
      <c r="D59" s="88" t="s">
        <v>2</v>
      </c>
      <c r="E59" s="86">
        <f>SUM('Приложение 3'!G78)</f>
        <v>0</v>
      </c>
      <c r="F59" s="86">
        <f>SUM('Приложение 3'!H78)</f>
        <v>20</v>
      </c>
      <c r="G59" s="86">
        <f>SUM('Приложение 3'!I78)</f>
        <v>0</v>
      </c>
      <c r="H59" s="85">
        <f t="shared" si="1"/>
        <v>0</v>
      </c>
    </row>
    <row r="60" spans="1:8" ht="67.5" customHeight="1">
      <c r="A60" s="83" t="str">
        <f>'Приложение 3'!A164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60" s="87" t="s">
        <v>310</v>
      </c>
      <c r="C60" s="87" t="s">
        <v>10</v>
      </c>
      <c r="D60" s="87" t="s">
        <v>231</v>
      </c>
      <c r="E60" s="85">
        <f>SUM(E61)</f>
        <v>200.39999999999998</v>
      </c>
      <c r="F60" s="85">
        <f>SUM(F61)</f>
        <v>200.39999999999998</v>
      </c>
      <c r="G60" s="85">
        <f>SUM(G61)</f>
        <v>0</v>
      </c>
      <c r="H60" s="85">
        <f t="shared" si="1"/>
        <v>0</v>
      </c>
    </row>
    <row r="61" spans="1:8" ht="67.5" customHeight="1">
      <c r="A61" s="50" t="s">
        <v>311</v>
      </c>
      <c r="B61" s="88" t="s">
        <v>310</v>
      </c>
      <c r="C61" s="88" t="s">
        <v>10</v>
      </c>
      <c r="D61" s="88" t="s">
        <v>2</v>
      </c>
      <c r="E61" s="86">
        <f>SUM('Приложение 3'!G165+'Приложение 3'!G186)</f>
        <v>200.39999999999998</v>
      </c>
      <c r="F61" s="86">
        <f>SUM('Приложение 3'!H165+'Приложение 3'!H186)</f>
        <v>200.39999999999998</v>
      </c>
      <c r="G61" s="86">
        <f>SUM('Приложение 3'!I165+'Приложение 3'!I186)</f>
        <v>0</v>
      </c>
      <c r="H61" s="85">
        <f t="shared" si="1"/>
        <v>0</v>
      </c>
    </row>
    <row r="62" spans="1:8" ht="40.5" customHeight="1">
      <c r="A62" s="83" t="str">
        <f>'Приложение 3'!A79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62" s="87" t="s">
        <v>250</v>
      </c>
      <c r="C62" s="87">
        <f>'Приложение 3'!E139</f>
        <v>0</v>
      </c>
      <c r="D62" s="87" t="s">
        <v>231</v>
      </c>
      <c r="E62" s="85">
        <f>SUM('Приложение 3'!G79)</f>
        <v>0</v>
      </c>
      <c r="F62" s="85">
        <f>SUM('Приложение 3'!H79)</f>
        <v>50</v>
      </c>
      <c r="G62" s="85">
        <f>SUM('Приложение 3'!I79)</f>
        <v>0</v>
      </c>
      <c r="H62" s="85">
        <f t="shared" si="1"/>
        <v>0</v>
      </c>
    </row>
    <row r="63" spans="1:8" ht="40.5" customHeight="1">
      <c r="A63" s="50" t="s">
        <v>273</v>
      </c>
      <c r="B63" s="88" t="s">
        <v>250</v>
      </c>
      <c r="C63" s="88" t="s">
        <v>10</v>
      </c>
      <c r="D63" s="88" t="s">
        <v>2</v>
      </c>
      <c r="E63" s="86">
        <f>SUM('Приложение 3'!G80)</f>
        <v>0</v>
      </c>
      <c r="F63" s="86">
        <f>SUM('Приложение 3'!H80)</f>
        <v>50</v>
      </c>
      <c r="G63" s="86">
        <f>SUM('Приложение 3'!I80)</f>
        <v>0</v>
      </c>
      <c r="H63" s="85">
        <f t="shared" si="1"/>
        <v>0</v>
      </c>
    </row>
    <row r="64" spans="1:8" ht="42" customHeight="1">
      <c r="A64" s="83" t="str">
        <f>'Приложение 3'!A149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64" s="87" t="s">
        <v>252</v>
      </c>
      <c r="C64" s="87" t="s">
        <v>10</v>
      </c>
      <c r="D64" s="87" t="s">
        <v>231</v>
      </c>
      <c r="E64" s="85">
        <f>SUM('Приложение 3'!G149)</f>
        <v>0</v>
      </c>
      <c r="F64" s="85">
        <f>SUM('Приложение 3'!H149)</f>
        <v>0</v>
      </c>
      <c r="G64" s="85">
        <f>SUM('Приложение 3'!I149)</f>
        <v>0</v>
      </c>
      <c r="H64" s="85">
        <v>0</v>
      </c>
    </row>
    <row r="65" spans="1:8" ht="42" customHeight="1">
      <c r="A65" s="50" t="s">
        <v>274</v>
      </c>
      <c r="B65" s="88" t="s">
        <v>252</v>
      </c>
      <c r="C65" s="88" t="s">
        <v>10</v>
      </c>
      <c r="D65" s="88" t="s">
        <v>6</v>
      </c>
      <c r="E65" s="86">
        <v>0</v>
      </c>
      <c r="F65" s="86">
        <f>SUM('Приложение 3'!H150)</f>
        <v>0</v>
      </c>
      <c r="G65" s="86">
        <f>SUM('Приложение 3'!I150)</f>
        <v>0</v>
      </c>
      <c r="H65" s="85">
        <v>0</v>
      </c>
    </row>
    <row r="66" spans="1:10" ht="15.75">
      <c r="A66" s="45" t="s">
        <v>116</v>
      </c>
      <c r="B66" s="88"/>
      <c r="C66" s="90"/>
      <c r="D66" s="91"/>
      <c r="E66" s="85">
        <f>SUM(E9+E11+E20+E22+E26+E28+E37+E39+E41+E43+E45+E47+E49+E52+E54+E56+E58+E60+E62+E64+E35)</f>
        <v>6757.023</v>
      </c>
      <c r="F66" s="85">
        <f>SUM(F9+F11+F20+F22+F26+F28+F37+F39+F41+F43+F45+F47+F49+F52+F54+F56+F58+F60+F62+F64+F35)</f>
        <v>27567.294130000002</v>
      </c>
      <c r="G66" s="85">
        <f>SUM(G9+G11+G20+G22+G26+G28+G37+G39+G41+G43+G45+G47+G49+G52+G54+G56+G58+G60+G62+G64+G35)</f>
        <v>3932.76944</v>
      </c>
      <c r="H66" s="85">
        <f>SUM(G66/F66)*100</f>
        <v>14.26606986327388</v>
      </c>
      <c r="I66" s="44">
        <f>SUM(F66+'Таблица №12'!F36)</f>
        <v>211424.79413000002</v>
      </c>
      <c r="J66" s="44">
        <f>SUM(G66+'Таблица №12'!G36)</f>
        <v>114250.40997</v>
      </c>
    </row>
    <row r="67" ht="15">
      <c r="D67" s="19"/>
    </row>
    <row r="68" ht="15">
      <c r="D68" s="19"/>
    </row>
    <row r="69" spans="1:9" s="15" customFormat="1" ht="15">
      <c r="A69" s="7"/>
      <c r="B69" s="12"/>
      <c r="C69" s="13"/>
      <c r="D69" s="19"/>
      <c r="I69" s="2"/>
    </row>
    <row r="70" spans="1:9" s="15" customFormat="1" ht="15">
      <c r="A70" s="7"/>
      <c r="B70" s="12"/>
      <c r="C70" s="13"/>
      <c r="D70" s="19"/>
      <c r="I70" s="2"/>
    </row>
    <row r="71" ht="15">
      <c r="D71" s="19"/>
    </row>
    <row r="72" ht="15">
      <c r="D72" s="19"/>
    </row>
  </sheetData>
  <sheetProtection/>
  <mergeCells count="5">
    <mergeCell ref="A5:H5"/>
    <mergeCell ref="E4:H4"/>
    <mergeCell ref="E1:H1"/>
    <mergeCell ref="E2:H2"/>
    <mergeCell ref="E3:H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46"/>
  <sheetViews>
    <sheetView showGridLines="0" zoomScalePageLayoutView="0" workbookViewId="0" topLeftCell="A1">
      <pane ySplit="8" topLeftCell="BM9" activePane="bottomLeft" state="frozen"/>
      <selection pane="topLeft" activeCell="A1" sqref="A1"/>
      <selection pane="bottomLeft" activeCell="M14" sqref="M14"/>
    </sheetView>
  </sheetViews>
  <sheetFormatPr defaultColWidth="9.140625" defaultRowHeight="12.75" outlineLevelRow="5"/>
  <cols>
    <col min="1" max="1" width="46.421875" style="7" customWidth="1"/>
    <col min="2" max="2" width="10.8515625" style="12" customWidth="1"/>
    <col min="3" max="3" width="6.57421875" style="13" customWidth="1"/>
    <col min="4" max="4" width="6.28125" style="11" customWidth="1"/>
    <col min="5" max="5" width="13.8515625" style="15" bestFit="1" customWidth="1"/>
    <col min="6" max="7" width="14.28125" style="15" customWidth="1"/>
    <col min="8" max="8" width="14.421875" style="15" customWidth="1"/>
    <col min="9" max="9" width="12.7109375" style="2" bestFit="1" customWidth="1"/>
    <col min="10" max="16384" width="9.140625" style="2" customWidth="1"/>
  </cols>
  <sheetData>
    <row r="1" spans="5:9" ht="18.75">
      <c r="E1" s="134" t="s">
        <v>174</v>
      </c>
      <c r="F1" s="134"/>
      <c r="G1" s="134"/>
      <c r="H1" s="134"/>
      <c r="I1" s="25"/>
    </row>
    <row r="2" spans="5:9" ht="18.75">
      <c r="E2" s="134" t="s">
        <v>170</v>
      </c>
      <c r="F2" s="134"/>
      <c r="G2" s="134"/>
      <c r="H2" s="134"/>
      <c r="I2" s="25"/>
    </row>
    <row r="3" spans="5:9" ht="18.75">
      <c r="E3" s="134" t="s">
        <v>171</v>
      </c>
      <c r="F3" s="134"/>
      <c r="G3" s="134"/>
      <c r="H3" s="134"/>
      <c r="I3" s="25"/>
    </row>
    <row r="4" spans="1:9" ht="21.75" customHeight="1">
      <c r="A4" s="8"/>
      <c r="B4" s="1"/>
      <c r="C4" s="5"/>
      <c r="D4" s="10"/>
      <c r="E4" s="134" t="s">
        <v>188</v>
      </c>
      <c r="F4" s="134"/>
      <c r="G4" s="134"/>
      <c r="H4" s="134"/>
      <c r="I4" s="25"/>
    </row>
    <row r="5" spans="1:8" ht="53.25" customHeight="1">
      <c r="A5" s="136" t="s">
        <v>195</v>
      </c>
      <c r="B5" s="136"/>
      <c r="C5" s="136"/>
      <c r="D5" s="136"/>
      <c r="E5" s="136"/>
      <c r="F5" s="136"/>
      <c r="G5" s="136"/>
      <c r="H5" s="136"/>
    </row>
    <row r="6" spans="1:8" ht="12.75" hidden="1">
      <c r="A6" s="55"/>
      <c r="B6" s="56"/>
      <c r="C6" s="57"/>
      <c r="D6" s="59"/>
      <c r="E6" s="58"/>
      <c r="F6" s="58"/>
      <c r="G6" s="58"/>
      <c r="H6" s="58"/>
    </row>
    <row r="7" spans="1:8" ht="12.75">
      <c r="A7" s="55"/>
      <c r="B7" s="56"/>
      <c r="C7" s="57"/>
      <c r="D7" s="59"/>
      <c r="E7" s="58"/>
      <c r="F7" s="58"/>
      <c r="G7" s="58"/>
      <c r="H7" s="60" t="s">
        <v>184</v>
      </c>
    </row>
    <row r="8" spans="1:8" ht="81" customHeight="1">
      <c r="A8" s="72" t="s">
        <v>1</v>
      </c>
      <c r="B8" s="101" t="s">
        <v>220</v>
      </c>
      <c r="C8" s="102" t="s">
        <v>9</v>
      </c>
      <c r="D8" s="118" t="s">
        <v>221</v>
      </c>
      <c r="E8" s="119" t="s">
        <v>275</v>
      </c>
      <c r="F8" s="119" t="s">
        <v>276</v>
      </c>
      <c r="G8" s="73" t="s">
        <v>324</v>
      </c>
      <c r="H8" s="73" t="s">
        <v>323</v>
      </c>
    </row>
    <row r="9" spans="1:8" ht="90.75" customHeight="1">
      <c r="A9" s="115" t="str">
        <f>'Приложение 3'!A81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9" s="116" t="s">
        <v>19</v>
      </c>
      <c r="C9" s="117">
        <v>0</v>
      </c>
      <c r="D9" s="94"/>
      <c r="E9" s="75">
        <f>SUM(E10)</f>
        <v>0</v>
      </c>
      <c r="F9" s="75">
        <f>SUM(F10)</f>
        <v>3100</v>
      </c>
      <c r="G9" s="75">
        <f>SUM(G10)</f>
        <v>1947.584</v>
      </c>
      <c r="H9" s="85">
        <f aca="true" t="shared" si="0" ref="H9:H36">SUM(G9/F9)*100</f>
        <v>62.82529032258065</v>
      </c>
    </row>
    <row r="10" spans="1:8" ht="27" customHeight="1">
      <c r="A10" s="51" t="str">
        <f>'Приложение 3'!A82</f>
        <v>Предоставление субсидий бюджетным, автономным учреждениям и иным некоммерческим организациям</v>
      </c>
      <c r="B10" s="95" t="s">
        <v>19</v>
      </c>
      <c r="C10" s="96">
        <v>0</v>
      </c>
      <c r="D10" s="97">
        <v>600</v>
      </c>
      <c r="E10" s="76">
        <f>SUM('Приложение 3'!G82)</f>
        <v>0</v>
      </c>
      <c r="F10" s="76">
        <f>SUM('Приложение 3'!H82)</f>
        <v>3100</v>
      </c>
      <c r="G10" s="76">
        <f>SUM('Приложение 3'!I82)</f>
        <v>1947.584</v>
      </c>
      <c r="H10" s="85">
        <f t="shared" si="0"/>
        <v>62.82529032258065</v>
      </c>
    </row>
    <row r="11" spans="1:8" ht="83.25" customHeight="1" outlineLevel="5">
      <c r="A11" s="66" t="str">
        <f>'Приложение 3'!A83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11" s="92" t="s">
        <v>15</v>
      </c>
      <c r="C11" s="92" t="s">
        <v>10</v>
      </c>
      <c r="D11" s="92"/>
      <c r="E11" s="77">
        <f>SUM(E12)</f>
        <v>0</v>
      </c>
      <c r="F11" s="77">
        <f>SUM(F12)</f>
        <v>16000</v>
      </c>
      <c r="G11" s="77">
        <f>SUM(G12)</f>
        <v>10274.18845</v>
      </c>
      <c r="H11" s="85">
        <f t="shared" si="0"/>
        <v>64.21367781250001</v>
      </c>
    </row>
    <row r="12" spans="1:8" ht="30.75" customHeight="1" outlineLevel="2">
      <c r="A12" s="51" t="str">
        <f>'Приложение 3'!A84</f>
        <v>Предоставление субсидий бюджетным, автономным учреждениям и иным некоммерческим организациям</v>
      </c>
      <c r="B12" s="95" t="s">
        <v>15</v>
      </c>
      <c r="C12" s="95" t="s">
        <v>10</v>
      </c>
      <c r="D12" s="95" t="s">
        <v>228</v>
      </c>
      <c r="E12" s="78">
        <f>SUM('Приложение 3'!G84)</f>
        <v>0</v>
      </c>
      <c r="F12" s="78">
        <f>SUM('Приложение 3'!H84)</f>
        <v>16000</v>
      </c>
      <c r="G12" s="78">
        <f>SUM('Приложение 3'!I84)</f>
        <v>10274.18845</v>
      </c>
      <c r="H12" s="85">
        <f t="shared" si="0"/>
        <v>64.21367781250001</v>
      </c>
    </row>
    <row r="13" spans="1:8" ht="51" outlineLevel="1">
      <c r="A13" s="66" t="str">
        <f>'Приложение 3'!A166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3" s="92" t="str">
        <f>'Приложение 3'!D166</f>
        <v>52</v>
      </c>
      <c r="C13" s="92">
        <f>'Приложение 3'!E166</f>
        <v>0</v>
      </c>
      <c r="D13" s="92"/>
      <c r="E13" s="77">
        <f>SUM(E14)</f>
        <v>409.3</v>
      </c>
      <c r="F13" s="77">
        <f>SUM(F14)</f>
        <v>25419.799999999996</v>
      </c>
      <c r="G13" s="77">
        <f>SUM(G14)</f>
        <v>14611.582910000001</v>
      </c>
      <c r="H13" s="85">
        <f t="shared" si="0"/>
        <v>57.48110886002251</v>
      </c>
    </row>
    <row r="14" spans="1:8" ht="31.5" customHeight="1" outlineLevel="1">
      <c r="A14" s="51" t="str">
        <f>'Приложение 3'!A167</f>
        <v>Предоставление субсидий бюджетным, автономным учреждениям и иным некоммерческим организациям</v>
      </c>
      <c r="B14" s="95" t="str">
        <f>'Приложение 3'!D167</f>
        <v>52</v>
      </c>
      <c r="C14" s="95">
        <f>'Приложение 3'!E167</f>
        <v>0</v>
      </c>
      <c r="D14" s="95" t="s">
        <v>228</v>
      </c>
      <c r="E14" s="78">
        <f>SUM('Приложение 3'!G166)</f>
        <v>409.3</v>
      </c>
      <c r="F14" s="78">
        <f>SUM('Приложение 3'!H166)</f>
        <v>25419.799999999996</v>
      </c>
      <c r="G14" s="78">
        <f>SUM('Приложение 3'!I166)</f>
        <v>14611.582910000001</v>
      </c>
      <c r="H14" s="85">
        <f t="shared" si="0"/>
        <v>57.48110886002251</v>
      </c>
    </row>
    <row r="15" spans="1:8" ht="38.25" outlineLevel="5">
      <c r="A15" s="66" t="str">
        <f>'Приложение 3'!A187</f>
        <v>Ведомственная целевая программа "Развитие общего образования детей на  территории  Алексеевского муниципального района на 2014-2016 годы"</v>
      </c>
      <c r="B15" s="92" t="str">
        <f>'Приложение 3'!D187</f>
        <v>53</v>
      </c>
      <c r="C15" s="92">
        <f>'Приложение 3'!E187</f>
        <v>0</v>
      </c>
      <c r="D15" s="92"/>
      <c r="E15" s="77">
        <f>SUM(E16:E19)</f>
        <v>583</v>
      </c>
      <c r="F15" s="77">
        <f>SUM(F16:F19)</f>
        <v>116835.2</v>
      </c>
      <c r="G15" s="77">
        <f>SUM(G16:G19)</f>
        <v>69798.98311999999</v>
      </c>
      <c r="H15" s="85">
        <f t="shared" si="0"/>
        <v>59.741399098901695</v>
      </c>
    </row>
    <row r="16" spans="1:8" ht="70.5" customHeight="1" outlineLevel="5">
      <c r="A16" s="51" t="str">
        <f>'Приложение 3'!A189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95" t="s">
        <v>23</v>
      </c>
      <c r="C16" s="95" t="s">
        <v>10</v>
      </c>
      <c r="D16" s="95" t="s">
        <v>226</v>
      </c>
      <c r="E16" s="78">
        <f>SUM('Приложение 3'!G189+'Приложение 3'!G194+'Приложение 3'!G195)</f>
        <v>293</v>
      </c>
      <c r="F16" s="78">
        <f>SUM('Приложение 3'!H189+'Приложение 3'!H194+'Приложение 3'!H195)</f>
        <v>5683.8</v>
      </c>
      <c r="G16" s="78">
        <f>SUM('Приложение 3'!I189+'Приложение 3'!I194+'Приложение 3'!I195)</f>
        <v>3226.82617</v>
      </c>
      <c r="H16" s="85">
        <f t="shared" si="0"/>
        <v>56.77233840036595</v>
      </c>
    </row>
    <row r="17" spans="1:8" ht="29.25" customHeight="1" outlineLevel="5">
      <c r="A17" s="51" t="str">
        <f>'Приложение 3'!A190</f>
        <v>Закупка товаров, работ и услуг для государственных (муниципальных) нужд</v>
      </c>
      <c r="B17" s="95" t="s">
        <v>23</v>
      </c>
      <c r="C17" s="95" t="s">
        <v>10</v>
      </c>
      <c r="D17" s="95" t="s">
        <v>183</v>
      </c>
      <c r="E17" s="78">
        <f>SUM('Приложение 3'!G190+'Приложение 3'!G196+'Приложение 3'!G197)</f>
        <v>0</v>
      </c>
      <c r="F17" s="78">
        <f>SUM('Приложение 3'!H190+'Приложение 3'!H196+'Приложение 3'!H197)</f>
        <v>1148.3</v>
      </c>
      <c r="G17" s="78">
        <f>SUM('Приложение 3'!I190+'Приложение 3'!I196+'Приложение 3'!I197)</f>
        <v>693.5811600000001</v>
      </c>
      <c r="H17" s="85">
        <f t="shared" si="0"/>
        <v>60.40069319864148</v>
      </c>
    </row>
    <row r="18" spans="1:8" ht="20.25" customHeight="1" outlineLevel="5">
      <c r="A18" s="51" t="str">
        <f>'Приложение 3'!A191</f>
        <v>Иные бюджетные ассигнования</v>
      </c>
      <c r="B18" s="95" t="s">
        <v>23</v>
      </c>
      <c r="C18" s="95" t="s">
        <v>10</v>
      </c>
      <c r="D18" s="95" t="s">
        <v>227</v>
      </c>
      <c r="E18" s="78">
        <f>SUM('Приложение 3'!G191)</f>
        <v>0</v>
      </c>
      <c r="F18" s="78">
        <f>SUM('Приложение 3'!H191)</f>
        <v>64.2</v>
      </c>
      <c r="G18" s="78">
        <f>SUM('Приложение 3'!I191)</f>
        <v>32.21745</v>
      </c>
      <c r="H18" s="85">
        <f t="shared" si="0"/>
        <v>50.182943925233644</v>
      </c>
    </row>
    <row r="19" spans="1:8" ht="28.5" customHeight="1" outlineLevel="5">
      <c r="A19" s="51" t="str">
        <f>'Приложение 3'!A192</f>
        <v>Предоставление субсидий бюджетным, автономным учреждениям и иным некоммерческим организациям</v>
      </c>
      <c r="B19" s="95" t="s">
        <v>23</v>
      </c>
      <c r="C19" s="95" t="s">
        <v>10</v>
      </c>
      <c r="D19" s="95" t="s">
        <v>228</v>
      </c>
      <c r="E19" s="78">
        <f>SUM('Приложение 3'!G192+'Приложение 3'!G198+'Приложение 3'!G200+'Приложение 3'!G202+'Приложение 3'!G199+'Приложение 3'!G201)</f>
        <v>290</v>
      </c>
      <c r="F19" s="78">
        <f>SUM('Приложение 3'!H192+'Приложение 3'!H198+'Приложение 3'!H200+'Приложение 3'!H202+'Приложение 3'!H199+'Приложение 3'!H201)</f>
        <v>109938.9</v>
      </c>
      <c r="G19" s="78">
        <f>SUM('Приложение 3'!I192+'Приложение 3'!I198+'Приложение 3'!I200+'Приложение 3'!I202+'Приложение 3'!I199+'Приложение 3'!I201)</f>
        <v>65846.35833999999</v>
      </c>
      <c r="H19" s="85">
        <f t="shared" si="0"/>
        <v>59.893593932629855</v>
      </c>
    </row>
    <row r="20" spans="1:8" ht="51" outlineLevel="3">
      <c r="A20" s="66" t="str">
        <f>'Приложение 3'!A204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20" s="92" t="str">
        <f>'Приложение 3'!D204</f>
        <v>54</v>
      </c>
      <c r="C20" s="92">
        <f>'Приложение 3'!E204</f>
        <v>0</v>
      </c>
      <c r="D20" s="92"/>
      <c r="E20" s="77">
        <f>SUM(E21)</f>
        <v>0</v>
      </c>
      <c r="F20" s="77">
        <f>SUM(F21)</f>
        <v>3651</v>
      </c>
      <c r="G20" s="77">
        <f>SUM(G21)</f>
        <v>2828.69666</v>
      </c>
      <c r="H20" s="85">
        <f t="shared" si="0"/>
        <v>77.47731196932347</v>
      </c>
    </row>
    <row r="21" spans="1:8" ht="25.5" outlineLevel="3">
      <c r="A21" s="51" t="str">
        <f>'Приложение 3'!A205</f>
        <v>Предоставление субсидий бюджетным, автономным учреждениям и иным некоммерческим организациям</v>
      </c>
      <c r="B21" s="95" t="str">
        <f>'Приложение 3'!D205</f>
        <v>54</v>
      </c>
      <c r="C21" s="95">
        <f>'Приложение 3'!E205</f>
        <v>0</v>
      </c>
      <c r="D21" s="95">
        <f>'Приложение 3'!F205</f>
        <v>600</v>
      </c>
      <c r="E21" s="78">
        <f>'Приложение 3'!G205</f>
        <v>0</v>
      </c>
      <c r="F21" s="78">
        <f>'Приложение 3'!H205</f>
        <v>3651</v>
      </c>
      <c r="G21" s="78">
        <f>'Приложение 3'!I205</f>
        <v>2828.69666</v>
      </c>
      <c r="H21" s="85">
        <f t="shared" si="0"/>
        <v>77.47731196932347</v>
      </c>
    </row>
    <row r="22" spans="1:8" ht="56.25" customHeight="1" outlineLevel="3">
      <c r="A22" s="66" t="str">
        <f>'Приложение 3'!A206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22" s="92" t="str">
        <f>'Приложение 3'!D206</f>
        <v>55</v>
      </c>
      <c r="C22" s="92">
        <f>'Приложение 3'!E206</f>
        <v>0</v>
      </c>
      <c r="D22" s="92"/>
      <c r="E22" s="77">
        <f>SUM(E23)</f>
        <v>0</v>
      </c>
      <c r="F22" s="77">
        <f>SUM(F23)</f>
        <v>3615.499</v>
      </c>
      <c r="G22" s="77">
        <f>SUM(G23)</f>
        <v>1795.38425</v>
      </c>
      <c r="H22" s="85">
        <f t="shared" si="0"/>
        <v>49.6579932673194</v>
      </c>
    </row>
    <row r="23" spans="1:8" ht="25.5" outlineLevel="3">
      <c r="A23" s="51" t="str">
        <f>'Приложение 3'!A207</f>
        <v>Предоставление субсидий бюджетным, автономным учреждениям и иным некоммерческим организациям</v>
      </c>
      <c r="B23" s="95" t="str">
        <f>'Приложение 3'!D207</f>
        <v>55</v>
      </c>
      <c r="C23" s="95">
        <f>'Приложение 3'!E207</f>
        <v>0</v>
      </c>
      <c r="D23" s="95">
        <f>'Приложение 3'!F207</f>
        <v>600</v>
      </c>
      <c r="E23" s="78">
        <f>'Приложение 3'!G206</f>
        <v>0</v>
      </c>
      <c r="F23" s="78">
        <f>'Приложение 3'!H206</f>
        <v>3615.499</v>
      </c>
      <c r="G23" s="78">
        <f>'Приложение 3'!I206</f>
        <v>1795.38425</v>
      </c>
      <c r="H23" s="85">
        <f t="shared" si="0"/>
        <v>49.6579932673194</v>
      </c>
    </row>
    <row r="24" spans="1:8" ht="38.25" outlineLevel="3">
      <c r="A24" s="74" t="str">
        <f>'Приложение 3'!A219</f>
        <v>Ведомственная целевая программа "Молодежная политика  на территории Алексеевского муниципального района на 2016-2018 годы" (СДЦ)</v>
      </c>
      <c r="B24" s="92" t="str">
        <f>'Приложение 3'!D219</f>
        <v>56</v>
      </c>
      <c r="C24" s="92">
        <f>'Приложение 3'!E219</f>
        <v>0</v>
      </c>
      <c r="D24" s="92"/>
      <c r="E24" s="77"/>
      <c r="F24" s="77">
        <f>SUM(F25)</f>
        <v>2500</v>
      </c>
      <c r="G24" s="77">
        <f>SUM(G25)</f>
        <v>1455.00424</v>
      </c>
      <c r="H24" s="85">
        <f t="shared" si="0"/>
        <v>58.200169599999995</v>
      </c>
    </row>
    <row r="25" spans="1:8" ht="25.5" outlineLevel="3">
      <c r="A25" s="43" t="str">
        <f>'Приложение 3'!A220</f>
        <v>Предоставление субсидий бюджетным, автономным учреждениям и иным некоммерческим организациям</v>
      </c>
      <c r="B25" s="95" t="str">
        <f>'Приложение 3'!D220</f>
        <v>56</v>
      </c>
      <c r="C25" s="95">
        <f>'Приложение 3'!E220</f>
        <v>0</v>
      </c>
      <c r="D25" s="95">
        <f>'Приложение 3'!F220</f>
        <v>600</v>
      </c>
      <c r="E25" s="78"/>
      <c r="F25" s="78">
        <f>SUM('Приложение 3'!H219)</f>
        <v>2500</v>
      </c>
      <c r="G25" s="78">
        <f>SUM('Приложение 3'!I219)</f>
        <v>1455.00424</v>
      </c>
      <c r="H25" s="85">
        <f t="shared" si="0"/>
        <v>58.200169599999995</v>
      </c>
    </row>
    <row r="26" spans="1:8" s="16" customFormat="1" ht="63.75" customHeight="1" outlineLevel="2">
      <c r="A26" s="74" t="str">
        <f>'Приложение 3'!A221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6" s="92" t="str">
        <f>'Приложение 3'!D221</f>
        <v>57</v>
      </c>
      <c r="C26" s="92">
        <f>'Приложение 3'!E221</f>
        <v>0</v>
      </c>
      <c r="D26" s="92"/>
      <c r="E26" s="77">
        <f>SUM(E27)</f>
        <v>0</v>
      </c>
      <c r="F26" s="77">
        <f>SUM(F27)</f>
        <v>1600</v>
      </c>
      <c r="G26" s="77">
        <f>SUM(G27)</f>
        <v>758.2309</v>
      </c>
      <c r="H26" s="85">
        <f t="shared" si="0"/>
        <v>47.38943125</v>
      </c>
    </row>
    <row r="27" spans="1:8" s="16" customFormat="1" ht="25.5" outlineLevel="2">
      <c r="A27" s="43" t="str">
        <f>'Приложение 3'!A222</f>
        <v>Предоставление субсидий бюджетным, автономным учреждениям и иным некоммерческим организациям</v>
      </c>
      <c r="B27" s="95" t="str">
        <f>'Приложение 3'!D222</f>
        <v>57</v>
      </c>
      <c r="C27" s="95">
        <f>'Приложение 3'!E222</f>
        <v>0</v>
      </c>
      <c r="D27" s="95">
        <f>'Приложение 3'!F222</f>
        <v>600</v>
      </c>
      <c r="E27" s="78">
        <f>SUM('Приложение 3'!G221)</f>
        <v>0</v>
      </c>
      <c r="F27" s="78">
        <f>SUM('Приложение 3'!H221)</f>
        <v>1600</v>
      </c>
      <c r="G27" s="78">
        <f>SUM('Приложение 3'!I221)</f>
        <v>758.2309</v>
      </c>
      <c r="H27" s="85">
        <f t="shared" si="0"/>
        <v>47.38943125</v>
      </c>
    </row>
    <row r="28" spans="1:8" ht="51" outlineLevel="3">
      <c r="A28" s="74" t="str">
        <f>'Приложение 3'!A231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8" s="92" t="str">
        <f>'Приложение 3'!D231</f>
        <v>58</v>
      </c>
      <c r="C28" s="92">
        <f>'Приложение 3'!E231</f>
        <v>0</v>
      </c>
      <c r="D28" s="92"/>
      <c r="E28" s="77">
        <f>SUM(E29:E31)</f>
        <v>15.85</v>
      </c>
      <c r="F28" s="77">
        <f>SUM(F29:F31)</f>
        <v>640.85</v>
      </c>
      <c r="G28" s="77">
        <f>SUM(G29:G31)</f>
        <v>357.17713</v>
      </c>
      <c r="H28" s="85">
        <f t="shared" si="0"/>
        <v>55.734903643598344</v>
      </c>
    </row>
    <row r="29" spans="1:8" ht="63.75" outlineLevel="3">
      <c r="A29" s="43" t="str">
        <f>'Приложение 3'!A232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95" t="s">
        <v>28</v>
      </c>
      <c r="C29" s="95" t="s">
        <v>10</v>
      </c>
      <c r="D29" s="95" t="s">
        <v>226</v>
      </c>
      <c r="E29" s="78">
        <f>SUM('Приложение 3'!G232)</f>
        <v>0</v>
      </c>
      <c r="F29" s="78">
        <f>SUM('Приложение 3'!H232)</f>
        <v>600</v>
      </c>
      <c r="G29" s="78">
        <f>SUM('Приложение 3'!I232)</f>
        <v>316.5056</v>
      </c>
      <c r="H29" s="85">
        <f t="shared" si="0"/>
        <v>52.750933333333336</v>
      </c>
    </row>
    <row r="30" spans="1:8" ht="25.5" outlineLevel="3">
      <c r="A30" s="43" t="str">
        <f>'Приложение 3'!A233</f>
        <v>Закупка товаров, работ и услуг для государственных (муниципальных) нужд</v>
      </c>
      <c r="B30" s="95" t="s">
        <v>28</v>
      </c>
      <c r="C30" s="95" t="s">
        <v>10</v>
      </c>
      <c r="D30" s="95" t="s">
        <v>183</v>
      </c>
      <c r="E30" s="78">
        <f>SUM('Приложение 3'!G233)</f>
        <v>15.85</v>
      </c>
      <c r="F30" s="78">
        <f>SUM('Приложение 3'!H233)</f>
        <v>40.65</v>
      </c>
      <c r="G30" s="78">
        <f>SUM('Приложение 3'!I233)</f>
        <v>40.65</v>
      </c>
      <c r="H30" s="85">
        <f t="shared" si="0"/>
        <v>100</v>
      </c>
    </row>
    <row r="31" spans="1:8" ht="15.75" outlineLevel="3">
      <c r="A31" s="43" t="str">
        <f>'Приложение 3'!A234</f>
        <v>Иные бюджетные ассигнования</v>
      </c>
      <c r="B31" s="95" t="s">
        <v>28</v>
      </c>
      <c r="C31" s="95" t="s">
        <v>10</v>
      </c>
      <c r="D31" s="95" t="s">
        <v>227</v>
      </c>
      <c r="E31" s="78"/>
      <c r="F31" s="78">
        <f>SUM('Приложение 3'!H234)</f>
        <v>0.2</v>
      </c>
      <c r="G31" s="78">
        <f>SUM('Приложение 3'!I234)</f>
        <v>0.02153</v>
      </c>
      <c r="H31" s="85">
        <f t="shared" si="0"/>
        <v>10.764999999999999</v>
      </c>
    </row>
    <row r="32" spans="1:8" ht="38.25" outlineLevel="5">
      <c r="A32" s="74" t="str">
        <f>'Приложение 3'!A240</f>
        <v>Ведомственная целевая программа "Развитие культуры и искусства в Алексеевском муниципальном районе на 2016-2018 годы"</v>
      </c>
      <c r="B32" s="92" t="str">
        <f>'Приложение 3'!D240</f>
        <v>59</v>
      </c>
      <c r="C32" s="92">
        <f>'Приложение 3'!E240</f>
        <v>0</v>
      </c>
      <c r="D32" s="92"/>
      <c r="E32" s="77">
        <f>SUM(E33)</f>
        <v>0</v>
      </c>
      <c r="F32" s="77">
        <f>SUM(F33)</f>
        <v>8617.6</v>
      </c>
      <c r="G32" s="77">
        <f>SUM(G33)</f>
        <v>5201.25787</v>
      </c>
      <c r="H32" s="85">
        <f t="shared" si="0"/>
        <v>60.356222962309694</v>
      </c>
    </row>
    <row r="33" spans="1:8" ht="25.5" outlineLevel="5">
      <c r="A33" s="43" t="str">
        <f>'Приложение 3'!A242</f>
        <v>Предоставление субсидий бюджетным, автономным учреждениям и иным некоммерческим организациям</v>
      </c>
      <c r="B33" s="95" t="s">
        <v>29</v>
      </c>
      <c r="C33" s="95" t="s">
        <v>10</v>
      </c>
      <c r="D33" s="95" t="s">
        <v>228</v>
      </c>
      <c r="E33" s="78">
        <f>SUM('Приложение 3'!G240)</f>
        <v>0</v>
      </c>
      <c r="F33" s="78">
        <f>SUM('Приложение 3'!H240)</f>
        <v>8617.6</v>
      </c>
      <c r="G33" s="78">
        <f>SUM('Приложение 3'!I240)</f>
        <v>5201.25787</v>
      </c>
      <c r="H33" s="85">
        <f t="shared" si="0"/>
        <v>60.356222962309694</v>
      </c>
    </row>
    <row r="34" spans="1:8" ht="38.25">
      <c r="A34" s="66" t="str">
        <f>'Приложение 3'!A283</f>
        <v>Ведомственная целевая программа "Поддержка средств массовой информации  в Алексеевском муниципальном районе на 2016-2018 годы"</v>
      </c>
      <c r="B34" s="92" t="str">
        <f>'Приложение 3'!D283</f>
        <v>61</v>
      </c>
      <c r="C34" s="92">
        <f>'Приложение 3'!E283</f>
        <v>0</v>
      </c>
      <c r="D34" s="92"/>
      <c r="E34" s="77"/>
      <c r="F34" s="77">
        <f>SUM(F35)</f>
        <v>1877.551</v>
      </c>
      <c r="G34" s="77">
        <f>SUM(G35)</f>
        <v>1289.551</v>
      </c>
      <c r="H34" s="85">
        <f t="shared" si="0"/>
        <v>68.68260835524575</v>
      </c>
    </row>
    <row r="35" spans="1:8" ht="25.5">
      <c r="A35" s="51" t="str">
        <f>'Приложение 3'!A284</f>
        <v>Предоставление субсидий бюджетным, автономным учреждениям и иным некоммерческим организациям</v>
      </c>
      <c r="B35" s="95" t="str">
        <f>'Приложение 3'!D284</f>
        <v>61</v>
      </c>
      <c r="C35" s="95">
        <f>'Приложение 3'!E284</f>
        <v>0</v>
      </c>
      <c r="D35" s="95">
        <f>'Приложение 3'!F284</f>
        <v>600</v>
      </c>
      <c r="E35" s="78"/>
      <c r="F35" s="78">
        <f>'Приложение 3'!H283</f>
        <v>1877.551</v>
      </c>
      <c r="G35" s="78">
        <f>'Приложение 3'!I283</f>
        <v>1289.551</v>
      </c>
      <c r="H35" s="85">
        <f t="shared" si="0"/>
        <v>68.68260835524575</v>
      </c>
    </row>
    <row r="36" spans="1:11" ht="15.75">
      <c r="A36" s="66" t="s">
        <v>116</v>
      </c>
      <c r="B36" s="92"/>
      <c r="C36" s="93"/>
      <c r="D36" s="98"/>
      <c r="E36" s="77">
        <f>SUM(E9+E11+E13+E15+E20+E22+E24+E26+E28+E32+E34)</f>
        <v>1008.15</v>
      </c>
      <c r="F36" s="77">
        <f>SUM(F9+F11+F13+F15+F20+F22+F24+F26+F28+F32+F34)</f>
        <v>183857.50000000003</v>
      </c>
      <c r="G36" s="77">
        <f>SUM(G9+G11+G13+G15+G20+G22+G24+G26+G28+G32+G34)</f>
        <v>110317.64052999999</v>
      </c>
      <c r="H36" s="85">
        <f t="shared" si="0"/>
        <v>60.00170813265707</v>
      </c>
      <c r="I36" s="44"/>
      <c r="J36" s="30"/>
      <c r="K36" s="30"/>
    </row>
    <row r="37" spans="4:8" ht="15">
      <c r="D37" s="19"/>
      <c r="E37" s="29"/>
      <c r="F37" s="29"/>
      <c r="G37" s="29"/>
      <c r="H37" s="29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19"/>
    </row>
    <row r="44" ht="15">
      <c r="D44" s="19"/>
    </row>
    <row r="45" spans="1:12" s="15" customFormat="1" ht="15">
      <c r="A45" s="7"/>
      <c r="B45" s="12"/>
      <c r="C45" s="13"/>
      <c r="D45" s="19"/>
      <c r="I45" s="2"/>
      <c r="J45" s="2"/>
      <c r="K45" s="2"/>
      <c r="L45" s="2"/>
    </row>
    <row r="46" spans="1:12" s="15" customFormat="1" ht="15">
      <c r="A46" s="7"/>
      <c r="B46" s="12"/>
      <c r="C46" s="13"/>
      <c r="D46" s="19"/>
      <c r="I46" s="2"/>
      <c r="J46" s="2"/>
      <c r="K46" s="2"/>
      <c r="L46" s="2"/>
    </row>
  </sheetData>
  <sheetProtection/>
  <mergeCells count="5">
    <mergeCell ref="E1:H1"/>
    <mergeCell ref="E2:H2"/>
    <mergeCell ref="E3:H3"/>
    <mergeCell ref="A5:H5"/>
    <mergeCell ref="E4:H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2016-07-21T06:38:44Z</cp:lastPrinted>
  <dcterms:created xsi:type="dcterms:W3CDTF">2002-03-11T10:22:12Z</dcterms:created>
  <dcterms:modified xsi:type="dcterms:W3CDTF">2016-09-05T10:40:33Z</dcterms:modified>
  <cp:category/>
  <cp:version/>
  <cp:contentType/>
  <cp:contentStatus/>
</cp:coreProperties>
</file>